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<sst xmlns="http://schemas.openxmlformats.org/spreadsheetml/2006/main" count="648" uniqueCount="276">
  <si>
    <t>Stavební rozpočet</t>
  </si>
  <si>
    <t>Název stavby:</t>
  </si>
  <si>
    <t>Město Bystřice</t>
  </si>
  <si>
    <t>Doba výstavby:</t>
  </si>
  <si>
    <t>Objednatel:</t>
  </si>
  <si>
    <t>Druh stavby:</t>
  </si>
  <si>
    <t>Most přes Záhořanský potok</t>
  </si>
  <si>
    <t>Začátek výstavby:</t>
  </si>
  <si>
    <t xml:space="preserve"> </t>
  </si>
  <si>
    <t>Projektant:</t>
  </si>
  <si>
    <t>Lokalita:</t>
  </si>
  <si>
    <t>Drachkov-Zahořany</t>
  </si>
  <si>
    <t>Konec výstavby:</t>
  </si>
  <si>
    <t>Zhotovitel:</t>
  </si>
  <si>
    <t>JKSO:</t>
  </si>
  <si>
    <t>Zpracováno dne:</t>
  </si>
  <si>
    <t>Zpracoval: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</si>
  <si>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</si>
  <si>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</si>
  <si>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</si>
  <si>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</si>
  <si>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</si>
  <si>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</si>
  <si>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</si>
  <si>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</si>
  <si>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</si>
  <si>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</si>
  <si>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</si>
  <si>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</si>
  <si>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</si>
  <si>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</si>
  <si>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</si>
  <si>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</si>
  <si>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</si>
  <si>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</si>
  <si>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</si>
  <si>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</si>
  <si>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</si>
  <si>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</si>
  <si>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</si>
  <si>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Všeobecné konstrukce a práce</t>
  </si>
  <si>
    <t>029412</t>
  </si>
  <si>
    <t>Ostaní požadavky - vypracování mostního listu</t>
  </si>
  <si>
    <t>ks</t>
  </si>
  <si>
    <t>1</t>
  </si>
  <si>
    <t>029440</t>
  </si>
  <si>
    <t>Ostaní požadavky - vypracování DSPS v digitální formě</t>
  </si>
  <si>
    <t>029500</t>
  </si>
  <si>
    <t>Ostatní požadavky - 1. hlavní mostní prohlídka</t>
  </si>
  <si>
    <t>R001</t>
  </si>
  <si>
    <t>Provizorní přemostění pro pěší po dobu výstavby</t>
  </si>
  <si>
    <t>11</t>
  </si>
  <si>
    <t>Přípravné a přidružené práce</t>
  </si>
  <si>
    <t>HS</t>
  </si>
  <si>
    <t>113151113R00</t>
  </si>
  <si>
    <t>Frézování krytu pl.do 500 m2,pruh do 75 cm,tl.4 cm</t>
  </si>
  <si>
    <t>m2</t>
  </si>
  <si>
    <t>2</t>
  </si>
  <si>
    <t>113151115R00</t>
  </si>
  <si>
    <t>Frézování krytu pl.do 500 m2,pruh do 75 cm,tl.6 cm</t>
  </si>
  <si>
    <t>11512</t>
  </si>
  <si>
    <t>Čerpání vody do 1000l/min.</t>
  </si>
  <si>
    <t>hod</t>
  </si>
  <si>
    <t>12</t>
  </si>
  <si>
    <t>Odkopávky a prokopávky</t>
  </si>
  <si>
    <t>3</t>
  </si>
  <si>
    <t>120901112R00</t>
  </si>
  <si>
    <t>Bourání konstrukcí kamenných na maltu nastavovanou</t>
  </si>
  <si>
    <t>m3</t>
  </si>
  <si>
    <t>4</t>
  </si>
  <si>
    <t>127101401R00</t>
  </si>
  <si>
    <t>Houbení rýh pod vodou v hor.1-2 do 1000 m3</t>
  </si>
  <si>
    <t>13</t>
  </si>
  <si>
    <t>Hloubené vykopávky</t>
  </si>
  <si>
    <t>5</t>
  </si>
  <si>
    <t>131201101R00</t>
  </si>
  <si>
    <t>Hloubení nezapažených jam v hor.3 do 100 m3</t>
  </si>
  <si>
    <t>16</t>
  </si>
  <si>
    <t>Přemístění výkopku</t>
  </si>
  <si>
    <t>6</t>
  </si>
  <si>
    <t>162701104R00</t>
  </si>
  <si>
    <t>Vodorovné přemístění výkopku z hor.1-4 do 9000 m</t>
  </si>
  <si>
    <t>17</t>
  </si>
  <si>
    <t>Konstrukce ze zemin</t>
  </si>
  <si>
    <t>7</t>
  </si>
  <si>
    <t>171201201R00</t>
  </si>
  <si>
    <t>Uložení sypaniny na skl.-modelace na výšku přes 2m</t>
  </si>
  <si>
    <t>8</t>
  </si>
  <si>
    <t>171201201RT1</t>
  </si>
  <si>
    <t>Poplatek za skládku-ostatní zemina</t>
  </si>
  <si>
    <t>t</t>
  </si>
  <si>
    <t>9</t>
  </si>
  <si>
    <t>174101101R00</t>
  </si>
  <si>
    <t>Zásyp jam, rýh, šachet se zhutněním</t>
  </si>
  <si>
    <t>21</t>
  </si>
  <si>
    <t>Úprava podloží a základové spáry</t>
  </si>
  <si>
    <t>10</t>
  </si>
  <si>
    <t>212792112R00</t>
  </si>
  <si>
    <t>Odvodnění mostní opěry-drenážní plastové potrubí DN 110</t>
  </si>
  <si>
    <t>m</t>
  </si>
  <si>
    <t>31</t>
  </si>
  <si>
    <t>Zdi podpěrné a volné</t>
  </si>
  <si>
    <t>317321118R00</t>
  </si>
  <si>
    <t>Římsy ze železového betonu C 30/37</t>
  </si>
  <si>
    <t>317353121R00</t>
  </si>
  <si>
    <t>Bednění říms jakéhokoliv tvaru - zřízení</t>
  </si>
  <si>
    <t>317353221R00</t>
  </si>
  <si>
    <t>Bednění říms jakéhokoliv tvaru - odstranění</t>
  </si>
  <si>
    <t>14</t>
  </si>
  <si>
    <t>317361016R00</t>
  </si>
  <si>
    <t>Výztuž říms zdí a valů z oceli 10 505</t>
  </si>
  <si>
    <t>32</t>
  </si>
  <si>
    <t>Zdi přehradní a opěrné</t>
  </si>
  <si>
    <t>15</t>
  </si>
  <si>
    <t>327222111R00</t>
  </si>
  <si>
    <t>Zdění obklad. zdiva opěr.zdí řádkového tl.do 45 cm</t>
  </si>
  <si>
    <t>33</t>
  </si>
  <si>
    <t>Sloupy a pilíře, stožáry a rámové stojky</t>
  </si>
  <si>
    <t>334323118R00</t>
  </si>
  <si>
    <t>Opěry z BŽ z cem.portlandských C30/37 tl.nad 45 cm</t>
  </si>
  <si>
    <t>334351111R00</t>
  </si>
  <si>
    <t>Bednění opěr,pilířů a prahů výšky do 20 m, zřízení</t>
  </si>
  <si>
    <t>18</t>
  </si>
  <si>
    <t>334351211R00</t>
  </si>
  <si>
    <t>Bednění opěr,pilířů a prahů v. do 20 m, odstranění</t>
  </si>
  <si>
    <t>19</t>
  </si>
  <si>
    <t>334361411R00</t>
  </si>
  <si>
    <t>Výztuž mostních opěr ze svařovaných sítí</t>
  </si>
  <si>
    <t>34</t>
  </si>
  <si>
    <t>Stěny a příčky</t>
  </si>
  <si>
    <t>20</t>
  </si>
  <si>
    <t>348942121R00</t>
  </si>
  <si>
    <t>Zábradlí ocel. s osazením do otvorů, ze 2 trubek</t>
  </si>
  <si>
    <t>42</t>
  </si>
  <si>
    <t>Vodorovné nosné konstrukce (pro inženýrské stavby)</t>
  </si>
  <si>
    <t>421321118R00</t>
  </si>
  <si>
    <t>Mostní konstrukce, desky nebo klenby z ŽB, C 30/37</t>
  </si>
  <si>
    <t>22</t>
  </si>
  <si>
    <t>421361314R00</t>
  </si>
  <si>
    <t>Výztuž mostních desek PřB přes 12 mm,ocel 10 505</t>
  </si>
  <si>
    <t>23</t>
  </si>
  <si>
    <t>423355111R00</t>
  </si>
  <si>
    <t>Montáž straceného bednění-spražené desky Cetris</t>
  </si>
  <si>
    <t>24</t>
  </si>
  <si>
    <t>423357111R00</t>
  </si>
  <si>
    <t>Bednění spřažené ocelobet. konstrukcí - zřízení</t>
  </si>
  <si>
    <t>25</t>
  </si>
  <si>
    <t>423357211R00</t>
  </si>
  <si>
    <t>Bednění spřažené ocelobet. konstrukcí - odstranění</t>
  </si>
  <si>
    <t>45</t>
  </si>
  <si>
    <t>Podkladní a vedlejší konstrukce (kromě vozovek a železničního svršku)</t>
  </si>
  <si>
    <t>26</t>
  </si>
  <si>
    <t>457311124R00</t>
  </si>
  <si>
    <t>Vyrov beton spádový C 30/37 vč.úpr.povrchu</t>
  </si>
  <si>
    <t>27</t>
  </si>
  <si>
    <t>458501111R00</t>
  </si>
  <si>
    <t>Výplň za opěrami z kameniva se zhutněním</t>
  </si>
  <si>
    <t>57</t>
  </si>
  <si>
    <t>Kryty štěrkových a živičných pozemních komunikací a zpevněných ploch</t>
  </si>
  <si>
    <t>28</t>
  </si>
  <si>
    <t>573231111R00</t>
  </si>
  <si>
    <t>Postřik živičný spojovací z emulze 0,5-0,7 kg/m2</t>
  </si>
  <si>
    <t>29</t>
  </si>
  <si>
    <t>577112113R00</t>
  </si>
  <si>
    <t>Beton asf. ACO 11+ (ABS I),  do 3 m, 4 cm</t>
  </si>
  <si>
    <t>30</t>
  </si>
  <si>
    <t>577141122R00</t>
  </si>
  <si>
    <t>Beton asfalt. ACL 16+ (ABL I), ložný, do 3 m, 5 cm</t>
  </si>
  <si>
    <t>63</t>
  </si>
  <si>
    <t>Podlahy a podlahové konstrukce</t>
  </si>
  <si>
    <t>631311121R00</t>
  </si>
  <si>
    <t>Doplnění mazanin betonem do 1 m2, do tl. 8 cm</t>
  </si>
  <si>
    <t>631362021R00</t>
  </si>
  <si>
    <t>Výztuž mazanin svařovanou sítí z drátů Kari</t>
  </si>
  <si>
    <t>711</t>
  </si>
  <si>
    <t>Izolace proti vodě</t>
  </si>
  <si>
    <t>PS</t>
  </si>
  <si>
    <t>711112002R00</t>
  </si>
  <si>
    <t>Izolace proti vlhkosti svislá asf. lak, za studena</t>
  </si>
  <si>
    <t>711311001R00</t>
  </si>
  <si>
    <t>Izolace mostovek za studena nátěrem ALP</t>
  </si>
  <si>
    <t>35</t>
  </si>
  <si>
    <t>711341564R00</t>
  </si>
  <si>
    <t>Izolace mostovek pásy přitavením NAIP</t>
  </si>
  <si>
    <t>92</t>
  </si>
  <si>
    <t>Doplňující konstrukce a práce železniční</t>
  </si>
  <si>
    <t>36</t>
  </si>
  <si>
    <t>928621011R00</t>
  </si>
  <si>
    <t>Zálivka asfaltová podél kolejnic 3 x 5 cm</t>
  </si>
  <si>
    <t>R009</t>
  </si>
  <si>
    <t>Převedení vody mostním otvorem - potrubí DN500, vč. hrázek</t>
  </si>
  <si>
    <t>96</t>
  </si>
  <si>
    <t>Bourání konstrukcí</t>
  </si>
  <si>
    <t>37</t>
  </si>
  <si>
    <t>962021112R00</t>
  </si>
  <si>
    <t>Bourání mostních zdí a pilířů z kamene</t>
  </si>
  <si>
    <t>38</t>
  </si>
  <si>
    <t>963051111R00</t>
  </si>
  <si>
    <t>Bourání mostních nos. konstrukcí železobetonových</t>
  </si>
  <si>
    <t>H21</t>
  </si>
  <si>
    <t>Mosty</t>
  </si>
  <si>
    <t>PR</t>
  </si>
  <si>
    <t>39</t>
  </si>
  <si>
    <t>998212111R00</t>
  </si>
  <si>
    <t>Přesun hmot, mosty zděné, monolitické do 20 m</t>
  </si>
  <si>
    <t>S</t>
  </si>
  <si>
    <t>Přesuny sutí</t>
  </si>
  <si>
    <t>40</t>
  </si>
  <si>
    <t>979081111R00</t>
  </si>
  <si>
    <t>Odvoz suti a vybour. hmot na skládku do 1 km</t>
  </si>
  <si>
    <t>41</t>
  </si>
  <si>
    <t>979081121R00</t>
  </si>
  <si>
    <t>Příplatek k odvozu za každý další 1 km</t>
  </si>
  <si>
    <t>979095312R00</t>
  </si>
  <si>
    <t>Poplatek za skládku -železobeton s příměsí 10%</t>
  </si>
  <si>
    <t>43</t>
  </si>
  <si>
    <t>979095311R00</t>
  </si>
  <si>
    <t>Poplatek za skládku- beton s příměsí do 10%</t>
  </si>
  <si>
    <t>Ostatní materiál</t>
  </si>
  <si>
    <t>OM</t>
  </si>
  <si>
    <t>44</t>
  </si>
  <si>
    <t>59590741</t>
  </si>
  <si>
    <t>Deska cementotřísková Cetris BASIC tl. 20 mm</t>
  </si>
  <si>
    <t>59534597</t>
  </si>
  <si>
    <t>dodávka + montáž ocelových nosníků vč.PKO</t>
  </si>
  <si>
    <t>kg</t>
  </si>
  <si>
    <t>46</t>
  </si>
  <si>
    <t>11163152</t>
  </si>
  <si>
    <t>Lak asfaltový izolační ALN/S RENOLAK sud nevratný</t>
  </si>
  <si>
    <t>T</t>
  </si>
  <si>
    <t>47</t>
  </si>
  <si>
    <t>62832280</t>
  </si>
  <si>
    <t>Pás asfaltovaný těžký Bitubitagit PE V 60 S 35</t>
  </si>
  <si>
    <t>Celkem:</t>
  </si>
  <si>
    <t>Výkaz výměr</t>
  </si>
  <si>
    <t>Rozměry</t>
  </si>
  <si>
    <t>Varianta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</si>
  <si>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</si>
  <si>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</si>
  <si>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</si>
  <si>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</si>
  <si>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</si>
  <si>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</si>
  <si>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</si>
  <si>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</si>
  <si>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</si>
  <si>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</si>
  <si>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</si>
  <si>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</si>
  <si>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</si>
  <si>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</si>
  <si>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</si>
  <si>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</si>
  <si>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</si>
  <si>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</si>
  <si>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</si>
  <si>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</si>
  <si>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</si>
  <si>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</si>
  <si>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</si>
  <si>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</si>
  <si>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</si>
  <si>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</si>
  <si>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</si>
  <si>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</si>
  <si>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Základ 0%</t>
  </si>
  <si>
    <t>Základ 14%</t>
  </si>
  <si>
    <t>DPH 14%</t>
  </si>
  <si>
    <t>Celkem bez DPH</t>
  </si>
  <si>
    <t>Základ 20%</t>
  </si>
  <si>
    <t>DPH 20%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</si>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</sst>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.0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7" xfId="0" applyNumberFormat="1" applyFont="1" applyFill="1" applyBorder="1" applyAlignment="1" applyProtection="1">
      <alignment horizontal="left" vertical="center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6" fontId="1" fillId="0" borderId="8" xfId="0" applyNumberFormat="1" applyFont="1" applyFill="1" applyBorder="1" applyAlignment="1" applyProtection="1">
      <alignment horizontal="left" vertical="center"/>
      <protection/>
    </xf>
    <xf numFmtId="165" fontId="1" fillId="0" borderId="9" xfId="0" applyNumberFormat="1" applyFont="1" applyFill="1" applyBorder="1" applyAlignment="1" applyProtection="1">
      <alignment horizontal="left" vertical="center"/>
      <protection/>
    </xf>
    <xf numFmtId="165" fontId="1" fillId="0" borderId="10" xfId="0" applyNumberFormat="1" applyFont="1" applyFill="1" applyBorder="1" applyAlignment="1" applyProtection="1">
      <alignment horizontal="left" vertical="center"/>
      <protection/>
    </xf>
    <xf numFmtId="165" fontId="1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center" vertical="center"/>
      <protection/>
    </xf>
    <xf numFmtId="165" fontId="3" fillId="0" borderId="17" xfId="0" applyNumberFormat="1" applyFont="1" applyFill="1" applyBorder="1" applyAlignment="1" applyProtection="1">
      <alignment horizontal="righ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/>
    </xf>
    <xf numFmtId="165" fontId="1" fillId="3" borderId="0" xfId="0" applyNumberFormat="1" applyFont="1" applyFill="1" applyBorder="1" applyAlignment="1" applyProtection="1">
      <alignment horizontal="left" vertical="center"/>
      <protection/>
    </xf>
    <xf numFmtId="165" fontId="1" fillId="3" borderId="0" xfId="0" applyNumberFormat="1" applyFont="1" applyFill="1" applyBorder="1" applyAlignment="1" applyProtection="1">
      <alignment horizontal="center" vertical="center"/>
      <protection/>
    </xf>
    <xf numFmtId="165" fontId="1" fillId="3" borderId="0" xfId="0" applyNumberFormat="1" applyFont="1" applyFill="1" applyBorder="1" applyAlignment="1" applyProtection="1">
      <alignment horizontal="right" vertical="center"/>
      <protection/>
    </xf>
    <xf numFmtId="167" fontId="1" fillId="3" borderId="0" xfId="0" applyNumberFormat="1" applyFont="1" applyFill="1" applyBorder="1" applyAlignment="1" applyProtection="1">
      <alignment horizontal="right" vertical="center"/>
      <protection/>
    </xf>
    <xf numFmtId="164" fontId="1" fillId="3" borderId="0" xfId="0" applyNumberFormat="1" applyFont="1" applyFill="1" applyBorder="1" applyAlignment="1" applyProtection="1">
      <alignment vertical="center"/>
      <protection/>
    </xf>
    <xf numFmtId="164" fontId="1" fillId="3" borderId="0" xfId="0" applyFont="1" applyFill="1" applyAlignment="1">
      <alignment vertical="center"/>
    </xf>
    <xf numFmtId="165" fontId="3" fillId="3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9" xfId="0" applyNumberFormat="1" applyFont="1" applyFill="1" applyBorder="1" applyAlignment="1" applyProtection="1">
      <alignment horizontal="left" vertical="center"/>
      <protection/>
    </xf>
    <xf numFmtId="164" fontId="1" fillId="0" borderId="7" xfId="0" applyNumberFormat="1" applyFont="1" applyFill="1" applyBorder="1" applyAlignment="1" applyProtection="1">
      <alignment vertical="center"/>
      <protection/>
    </xf>
    <xf numFmtId="165" fontId="3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right" vertical="center"/>
      <protection/>
    </xf>
    <xf numFmtId="164" fontId="3" fillId="0" borderId="23" xfId="0" applyNumberFormat="1" applyFont="1" applyFill="1" applyBorder="1" applyAlignment="1" applyProtection="1">
      <alignment horizontal="left" vertical="center" wrapText="1"/>
      <protection/>
    </xf>
    <xf numFmtId="165" fontId="1" fillId="0" borderId="24" xfId="0" applyNumberFormat="1" applyFont="1" applyFill="1" applyBorder="1" applyAlignment="1" applyProtection="1">
      <alignment horizontal="left" vertical="center"/>
      <protection/>
    </xf>
    <xf numFmtId="167" fontId="1" fillId="0" borderId="24" xfId="0" applyNumberFormat="1" applyFont="1" applyFill="1" applyBorder="1" applyAlignment="1" applyProtection="1">
      <alignment horizontal="right" vertical="center"/>
      <protection/>
    </xf>
    <xf numFmtId="164" fontId="1" fillId="0" borderId="24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5" xfId="0" applyNumberFormat="1" applyFont="1" applyFill="1" applyBorder="1" applyAlignment="1" applyProtection="1">
      <alignment horizontal="left" vertical="center"/>
      <protection/>
    </xf>
    <xf numFmtId="166" fontId="1" fillId="0" borderId="26" xfId="0" applyNumberFormat="1" applyFont="1" applyFill="1" applyBorder="1" applyAlignment="1" applyProtection="1">
      <alignment horizontal="left" vertical="center"/>
      <protection/>
    </xf>
    <xf numFmtId="165" fontId="5" fillId="0" borderId="27" xfId="0" applyNumberFormat="1" applyFont="1" applyFill="1" applyBorder="1" applyAlignment="1" applyProtection="1">
      <alignment horizontal="center" vertical="center"/>
      <protection/>
    </xf>
    <xf numFmtId="165" fontId="6" fillId="2" borderId="28" xfId="0" applyNumberFormat="1" applyFont="1" applyFill="1" applyBorder="1" applyAlignment="1" applyProtection="1">
      <alignment horizontal="center" vertical="center"/>
      <protection/>
    </xf>
    <xf numFmtId="165" fontId="7" fillId="0" borderId="28" xfId="0" applyNumberFormat="1" applyFont="1" applyFill="1" applyBorder="1" applyAlignment="1" applyProtection="1">
      <alignment horizontal="left" vertical="center"/>
      <protection/>
    </xf>
    <xf numFmtId="165" fontId="8" fillId="0" borderId="29" xfId="0" applyNumberFormat="1" applyFont="1" applyFill="1" applyBorder="1" applyAlignment="1" applyProtection="1">
      <alignment horizontal="left" vertical="center"/>
      <protection/>
    </xf>
    <xf numFmtId="165" fontId="9" fillId="0" borderId="28" xfId="0" applyNumberFormat="1" applyFont="1" applyFill="1" applyBorder="1" applyAlignment="1" applyProtection="1">
      <alignment horizontal="left" vertical="center"/>
      <protection/>
    </xf>
    <xf numFmtId="164" fontId="9" fillId="0" borderId="28" xfId="0" applyNumberFormat="1" applyFont="1" applyFill="1" applyBorder="1" applyAlignment="1" applyProtection="1">
      <alignment horizontal="right" vertical="center"/>
      <protection/>
    </xf>
    <xf numFmtId="165" fontId="8" fillId="0" borderId="30" xfId="0" applyNumberFormat="1" applyFont="1" applyFill="1" applyBorder="1" applyAlignment="1" applyProtection="1">
      <alignment horizontal="left" vertical="center"/>
      <protection/>
    </xf>
    <xf numFmtId="165" fontId="9" fillId="0" borderId="28" xfId="0" applyNumberFormat="1" applyFont="1" applyFill="1" applyBorder="1" applyAlignment="1" applyProtection="1">
      <alignment horizontal="right" vertical="center"/>
      <protection/>
    </xf>
    <xf numFmtId="165" fontId="8" fillId="0" borderId="28" xfId="0" applyNumberFormat="1" applyFont="1" applyFill="1" applyBorder="1" applyAlignment="1" applyProtection="1">
      <alignment horizontal="left" vertical="center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5" fontId="8" fillId="2" borderId="31" xfId="0" applyNumberFormat="1" applyFont="1" applyFill="1" applyBorder="1" applyAlignment="1" applyProtection="1">
      <alignment horizontal="left" vertical="center"/>
      <protection/>
    </xf>
    <xf numFmtId="164" fontId="8" fillId="2" borderId="32" xfId="0" applyNumberFormat="1" applyFont="1" applyFill="1" applyBorder="1" applyAlignment="1" applyProtection="1">
      <alignment horizontal="right"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164" fontId="1" fillId="0" borderId="33" xfId="0" applyNumberFormat="1" applyFont="1" applyFill="1" applyBorder="1" applyAlignment="1" applyProtection="1">
      <alignment vertical="center"/>
      <protection/>
    </xf>
    <xf numFmtId="165" fontId="9" fillId="0" borderId="34" xfId="0" applyNumberFormat="1" applyFont="1" applyFill="1" applyBorder="1" applyAlignment="1" applyProtection="1">
      <alignment horizontal="left" vertical="center"/>
      <protection/>
    </xf>
    <xf numFmtId="165" fontId="9" fillId="0" borderId="35" xfId="0" applyNumberFormat="1" applyFont="1" applyFill="1" applyBorder="1" applyAlignment="1" applyProtection="1">
      <alignment horizontal="left" vertical="center"/>
      <protection/>
    </xf>
    <xf numFmtId="165" fontId="9" fillId="0" borderId="3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workbookViewId="0" topLeftCell="A74">
      <selection activeCell="G70" sqref="G70"/>
    </sheetView>
  </sheetViews>
  <sheetFormatPr defaultColWidth="11.421875" defaultRowHeight="12.75"/>
  <cols>
    <col min="1" max="2" width="3.7109375" style="1" customWidth="1"/>
    <col min="3" max="3" width="13.28125" style="1" customWidth="1"/>
    <col min="4" max="4" width="50.7109375" style="1" customWidth="1"/>
    <col min="5" max="5" width="4.28125" style="1" customWidth="1"/>
    <col min="6" max="6" width="10.8515625" style="1" customWidth="1"/>
    <col min="7" max="7" width="12.00390625" style="1" customWidth="1"/>
    <col min="8" max="10" width="14.28125" style="1" customWidth="1"/>
    <col min="11" max="12" width="11.7109375" style="1" customWidth="1"/>
    <col min="13" max="13" width="11.421875" style="1" customWidth="1"/>
    <col min="14" max="37" width="0" style="1" hidden="1" customWidth="1"/>
    <col min="38" max="16384" width="11.421875" style="1" customWidth="1"/>
  </cols>
  <sheetData>
    <row r="1" spans="1:12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3" t="s">
        <v>1</v>
      </c>
      <c r="B2" s="3"/>
      <c r="C2" s="3"/>
      <c r="D2" s="4" t="s">
        <v>2</v>
      </c>
      <c r="E2" s="5" t="s">
        <v>3</v>
      </c>
      <c r="F2" s="5"/>
      <c r="G2" s="5"/>
      <c r="H2" s="5"/>
      <c r="I2" s="5" t="s">
        <v>4</v>
      </c>
      <c r="J2" s="6"/>
      <c r="K2" s="6"/>
      <c r="L2" s="6"/>
      <c r="M2" s="7"/>
    </row>
    <row r="3" spans="1:13" ht="12.75">
      <c r="A3" s="3"/>
      <c r="B3" s="3"/>
      <c r="C3" s="3"/>
      <c r="D3" s="4"/>
      <c r="E3" s="5"/>
      <c r="F3" s="5"/>
      <c r="G3" s="5"/>
      <c r="H3" s="5"/>
      <c r="I3" s="5"/>
      <c r="J3" s="5"/>
      <c r="K3" s="6"/>
      <c r="L3" s="6"/>
      <c r="M3" s="7"/>
    </row>
    <row r="4" spans="1:13" ht="12.75">
      <c r="A4" s="8" t="s">
        <v>5</v>
      </c>
      <c r="B4" s="8"/>
      <c r="C4" s="8"/>
      <c r="D4" s="9" t="s">
        <v>6</v>
      </c>
      <c r="E4" s="9" t="s">
        <v>7</v>
      </c>
      <c r="F4" s="9"/>
      <c r="G4" s="9" t="s">
        <v>8</v>
      </c>
      <c r="H4" s="9"/>
      <c r="I4" s="9" t="s">
        <v>9</v>
      </c>
      <c r="J4" s="10"/>
      <c r="K4" s="10"/>
      <c r="L4" s="10"/>
      <c r="M4" s="7"/>
    </row>
    <row r="5" spans="1:13" ht="12.75">
      <c r="A5" s="8"/>
      <c r="B5" s="8"/>
      <c r="C5" s="8"/>
      <c r="D5" s="9"/>
      <c r="E5" s="9"/>
      <c r="F5" s="9"/>
      <c r="G5" s="9"/>
      <c r="H5" s="9"/>
      <c r="I5" s="9"/>
      <c r="J5" s="9"/>
      <c r="K5" s="10"/>
      <c r="L5" s="10"/>
      <c r="M5" s="7"/>
    </row>
    <row r="6" spans="1:13" ht="12.75">
      <c r="A6" s="8" t="s">
        <v>10</v>
      </c>
      <c r="B6" s="8"/>
      <c r="C6" s="8"/>
      <c r="D6" s="9" t="s">
        <v>11</v>
      </c>
      <c r="E6" s="9" t="s">
        <v>12</v>
      </c>
      <c r="F6" s="9"/>
      <c r="G6" s="11"/>
      <c r="H6" s="11"/>
      <c r="I6" s="9" t="s">
        <v>13</v>
      </c>
      <c r="J6" s="10" t="s">
        <v>8</v>
      </c>
      <c r="K6" s="10"/>
      <c r="L6" s="10"/>
      <c r="M6" s="7"/>
    </row>
    <row r="7" spans="1:13" ht="12.75">
      <c r="A7" s="8"/>
      <c r="B7" s="8"/>
      <c r="C7" s="8"/>
      <c r="D7" s="9"/>
      <c r="E7" s="9"/>
      <c r="F7" s="9"/>
      <c r="G7" s="11"/>
      <c r="H7" s="11"/>
      <c r="I7" s="9"/>
      <c r="J7" s="9"/>
      <c r="K7" s="10"/>
      <c r="L7" s="10"/>
      <c r="M7" s="7"/>
    </row>
    <row r="8" spans="1:13" ht="12.75">
      <c r="A8" s="12" t="s">
        <v>14</v>
      </c>
      <c r="B8" s="12"/>
      <c r="C8" s="12"/>
      <c r="D8" s="13"/>
      <c r="E8" s="13" t="s">
        <v>15</v>
      </c>
      <c r="F8" s="13"/>
      <c r="G8" s="14" t="s">
        <v>8</v>
      </c>
      <c r="H8" s="14"/>
      <c r="I8" s="13" t="s">
        <v>16</v>
      </c>
      <c r="J8" s="15" t="s">
        <v>8</v>
      </c>
      <c r="K8" s="15"/>
      <c r="L8" s="15"/>
      <c r="M8" s="7"/>
    </row>
    <row r="9" spans="1:13" ht="12.75">
      <c r="A9" s="12"/>
      <c r="B9" s="12"/>
      <c r="C9" s="12"/>
      <c r="D9" s="13"/>
      <c r="E9" s="13"/>
      <c r="F9" s="13"/>
      <c r="G9" s="14"/>
      <c r="H9" s="14"/>
      <c r="I9" s="13"/>
      <c r="J9" s="13"/>
      <c r="K9" s="15"/>
      <c r="L9" s="15"/>
      <c r="M9" s="7"/>
    </row>
    <row r="10" spans="1:13" ht="12.75">
      <c r="A10" s="16" t="s">
        <v>8</v>
      </c>
      <c r="B10" s="17" t="s">
        <v>8</v>
      </c>
      <c r="C10" s="17" t="s">
        <v>8</v>
      </c>
      <c r="D10" s="17" t="s">
        <v>8</v>
      </c>
      <c r="E10" s="17" t="s">
        <v>8</v>
      </c>
      <c r="F10" s="17" t="s">
        <v>8</v>
      </c>
      <c r="G10" s="18" t="s">
        <v>17</v>
      </c>
      <c r="H10" s="19" t="s">
        <v>18</v>
      </c>
      <c r="I10" s="19"/>
      <c r="J10" s="19"/>
      <c r="K10" s="19" t="s">
        <v>19</v>
      </c>
      <c r="L10" s="19"/>
      <c r="M10" s="20"/>
    </row>
    <row r="11" spans="1:24" ht="12.75">
      <c r="A11" s="21" t="s">
        <v>20</v>
      </c>
      <c r="B11" s="22" t="s">
        <v>21</v>
      </c>
      <c r="C11" s="22" t="s">
        <v>22</v>
      </c>
      <c r="D11" s="22" t="s">
        <v>23</v>
      </c>
      <c r="E11" s="22" t="s">
        <v>24</v>
      </c>
      <c r="F11" s="23" t="s">
        <v>25</v>
      </c>
      <c r="G11" s="24" t="s">
        <v>26</v>
      </c>
      <c r="H11" s="25" t="s">
        <v>27</v>
      </c>
      <c r="I11" s="26" t="s">
        <v>28</v>
      </c>
      <c r="J11" s="27" t="s">
        <v>29</v>
      </c>
      <c r="K11" s="25" t="s">
        <v>17</v>
      </c>
      <c r="L11" s="27" t="s">
        <v>29</v>
      </c>
      <c r="M11" s="20"/>
      <c r="P11" s="28" t="s">
        <v>30</v>
      </c>
      <c r="Q11" s="28" t="s">
        <v>31</v>
      </c>
      <c r="R11" s="28" t="s">
        <v>32</v>
      </c>
      <c r="S11" s="28" t="s">
        <v>33</v>
      </c>
      <c r="T11" s="28" t="s">
        <v>34</v>
      </c>
      <c r="U11" s="28" t="s">
        <v>35</v>
      </c>
      <c r="V11" s="28" t="s">
        <v>36</v>
      </c>
      <c r="W11" s="28" t="s">
        <v>37</v>
      </c>
      <c r="X11" s="28" t="s">
        <v>38</v>
      </c>
    </row>
    <row r="12" spans="1:24" ht="12.75">
      <c r="A12" s="29"/>
      <c r="B12" s="29"/>
      <c r="C12" s="30" t="s">
        <v>39</v>
      </c>
      <c r="D12" s="30" t="s">
        <v>40</v>
      </c>
      <c r="E12" s="30"/>
      <c r="F12" s="30"/>
      <c r="G12" s="30"/>
      <c r="H12" s="31">
        <f>SUM(H13:H15)</f>
        <v>0</v>
      </c>
      <c r="I12" s="31">
        <f>SUM(I13:I16)</f>
        <v>0</v>
      </c>
      <c r="J12" s="31">
        <f>H12+I12</f>
        <v>0</v>
      </c>
      <c r="K12" s="28"/>
      <c r="L12" s="31">
        <f>SUM(L13:L15)</f>
        <v>0</v>
      </c>
      <c r="M12" s="32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39" customFormat="1" ht="12.75">
      <c r="A13" s="33"/>
      <c r="B13" s="33"/>
      <c r="C13" s="34" t="s">
        <v>41</v>
      </c>
      <c r="D13" s="34" t="s">
        <v>42</v>
      </c>
      <c r="E13" s="34" t="s">
        <v>43</v>
      </c>
      <c r="F13" s="35" t="s">
        <v>44</v>
      </c>
      <c r="G13" s="36"/>
      <c r="H13" s="37">
        <f>ROUND(F13*AE13,2)</f>
        <v>0</v>
      </c>
      <c r="I13" s="37">
        <f>J13-H13</f>
        <v>0</v>
      </c>
      <c r="J13" s="37">
        <f>ROUND(F13*G13,2)</f>
        <v>0</v>
      </c>
      <c r="K13" s="37">
        <v>0</v>
      </c>
      <c r="L13" s="37">
        <f>F13*K13</f>
        <v>0</v>
      </c>
      <c r="M13" s="38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39" customFormat="1" ht="12.75">
      <c r="A14" s="33"/>
      <c r="B14" s="33"/>
      <c r="C14" s="34" t="s">
        <v>45</v>
      </c>
      <c r="D14" s="34" t="s">
        <v>46</v>
      </c>
      <c r="E14" s="34" t="s">
        <v>43</v>
      </c>
      <c r="F14" s="35" t="s">
        <v>44</v>
      </c>
      <c r="G14" s="36"/>
      <c r="H14" s="37">
        <f>ROUND(F14*AE14,2)</f>
        <v>0</v>
      </c>
      <c r="I14" s="37">
        <f>J14-H14</f>
        <v>0</v>
      </c>
      <c r="J14" s="37">
        <f>ROUND(F14*G14,2)</f>
        <v>0</v>
      </c>
      <c r="K14" s="37">
        <v>0</v>
      </c>
      <c r="L14" s="37">
        <f>F14*K14</f>
        <v>0</v>
      </c>
      <c r="M14" s="38"/>
      <c r="P14" s="40"/>
      <c r="Q14" s="40"/>
      <c r="R14" s="40"/>
      <c r="S14" s="40"/>
      <c r="T14" s="40"/>
      <c r="U14" s="40"/>
      <c r="V14" s="40"/>
      <c r="W14" s="40"/>
      <c r="X14" s="40"/>
    </row>
    <row r="15" spans="1:24" s="39" customFormat="1" ht="12.75">
      <c r="A15" s="33"/>
      <c r="B15" s="33"/>
      <c r="C15" s="34" t="s">
        <v>47</v>
      </c>
      <c r="D15" s="34" t="s">
        <v>48</v>
      </c>
      <c r="E15" s="34" t="s">
        <v>43</v>
      </c>
      <c r="F15" s="35" t="s">
        <v>44</v>
      </c>
      <c r="G15" s="36"/>
      <c r="H15" s="37">
        <f>ROUND(F15*AE15,2)</f>
        <v>0</v>
      </c>
      <c r="I15" s="37">
        <f>J15-H15</f>
        <v>0</v>
      </c>
      <c r="J15" s="37">
        <f>ROUND(F15*G15,2)</f>
        <v>0</v>
      </c>
      <c r="K15" s="37">
        <v>0</v>
      </c>
      <c r="L15" s="37">
        <f>F15*K15</f>
        <v>0</v>
      </c>
      <c r="M15" s="38"/>
      <c r="P15" s="40"/>
      <c r="Q15" s="40"/>
      <c r="R15" s="40"/>
      <c r="S15" s="40"/>
      <c r="T15" s="40"/>
      <c r="U15" s="40"/>
      <c r="V15" s="40"/>
      <c r="W15" s="40"/>
      <c r="X15" s="40"/>
    </row>
    <row r="16" spans="1:24" s="39" customFormat="1" ht="12.75">
      <c r="A16" s="33"/>
      <c r="B16" s="33"/>
      <c r="C16" s="34" t="s">
        <v>49</v>
      </c>
      <c r="D16" s="34" t="s">
        <v>50</v>
      </c>
      <c r="E16" s="34" t="s">
        <v>43</v>
      </c>
      <c r="F16" s="35" t="s">
        <v>44</v>
      </c>
      <c r="G16" s="36"/>
      <c r="H16" s="37">
        <f>ROUND(F16*AE16,2)</f>
        <v>0</v>
      </c>
      <c r="I16" s="37">
        <f>J16-H16</f>
        <v>0</v>
      </c>
      <c r="J16" s="37">
        <f>ROUND(F16*G16,2)</f>
        <v>0</v>
      </c>
      <c r="K16" s="37">
        <v>1</v>
      </c>
      <c r="L16" s="37">
        <f>F16*K16</f>
        <v>1</v>
      </c>
      <c r="M16" s="38"/>
      <c r="P16" s="40"/>
      <c r="Q16" s="40"/>
      <c r="R16" s="40"/>
      <c r="S16" s="40"/>
      <c r="T16" s="40"/>
      <c r="U16" s="40"/>
      <c r="V16" s="40"/>
      <c r="W16" s="40"/>
      <c r="X16" s="40"/>
    </row>
    <row r="17" spans="1:37" ht="12.75">
      <c r="A17" s="29"/>
      <c r="B17" s="29"/>
      <c r="C17" s="30" t="s">
        <v>51</v>
      </c>
      <c r="D17" s="30" t="s">
        <v>52</v>
      </c>
      <c r="E17" s="30"/>
      <c r="F17" s="30"/>
      <c r="G17" s="30"/>
      <c r="H17" s="31">
        <f>SUM(H18:H19)</f>
        <v>0</v>
      </c>
      <c r="I17" s="31">
        <f>SUM(I18:I20)</f>
        <v>106</v>
      </c>
      <c r="J17" s="31">
        <f>H17+I17</f>
        <v>106</v>
      </c>
      <c r="K17" s="28"/>
      <c r="L17" s="31">
        <f>SUM(L18:L19)</f>
        <v>10.4864</v>
      </c>
      <c r="P17" s="31">
        <f>IF(Q17="PR",J17,SUM(O18:O19))</f>
        <v>0</v>
      </c>
      <c r="Q17" s="28" t="s">
        <v>53</v>
      </c>
      <c r="R17" s="31">
        <f>IF(Q17="HS",H17,0)</f>
        <v>0</v>
      </c>
      <c r="S17" s="31">
        <f>IF(Q17="HS",I17-P17,0)</f>
        <v>106</v>
      </c>
      <c r="T17" s="31">
        <f>IF(Q17="PS",H17,0)</f>
        <v>0</v>
      </c>
      <c r="U17" s="31">
        <f>IF(Q17="PS",I17-P17,0)</f>
        <v>0</v>
      </c>
      <c r="V17" s="31">
        <f>IF(Q17="MP",H17,0)</f>
        <v>0</v>
      </c>
      <c r="W17" s="31">
        <f>IF(Q17="MP",I17-P17,0)</f>
        <v>0</v>
      </c>
      <c r="X17" s="31">
        <f>IF(Q17="OM",H17,0)</f>
        <v>0</v>
      </c>
      <c r="Y17" s="28"/>
      <c r="AI17" s="31">
        <f>SUM(Z18:Z19)</f>
        <v>0</v>
      </c>
      <c r="AJ17" s="31">
        <f>SUM(AA18:AA19)</f>
        <v>0</v>
      </c>
      <c r="AK17" s="31">
        <f>SUM(AB18:AB19)</f>
        <v>0</v>
      </c>
    </row>
    <row r="18" spans="1:32" ht="12.75">
      <c r="A18" s="9" t="s">
        <v>44</v>
      </c>
      <c r="B18" s="9"/>
      <c r="C18" s="9" t="s">
        <v>54</v>
      </c>
      <c r="D18" s="9" t="s">
        <v>55</v>
      </c>
      <c r="E18" s="9" t="s">
        <v>56</v>
      </c>
      <c r="F18" s="41">
        <v>43.2</v>
      </c>
      <c r="H18" s="41">
        <f>ROUND(F18*AE18,2)</f>
        <v>0</v>
      </c>
      <c r="I18" s="41">
        <f>J18-H18</f>
        <v>0</v>
      </c>
      <c r="J18" s="41">
        <f>ROUND(F18*G18,2)</f>
        <v>0</v>
      </c>
      <c r="K18" s="41">
        <v>0.103</v>
      </c>
      <c r="L18" s="41">
        <f>F18*K18</f>
        <v>4.4496</v>
      </c>
      <c r="N18" s="42" t="s">
        <v>44</v>
      </c>
      <c r="O18" s="41">
        <f>IF(N18="5",I18,0)</f>
        <v>0</v>
      </c>
      <c r="Z18" s="41">
        <f>IF(AD18=0,J18,0)</f>
        <v>0</v>
      </c>
      <c r="AA18" s="41">
        <f>IF(AD18=14,J18,0)</f>
        <v>0</v>
      </c>
      <c r="AB18" s="41">
        <f>IF(AD18=20,J18,0)</f>
        <v>0</v>
      </c>
      <c r="AD18" s="41">
        <v>20</v>
      </c>
      <c r="AE18" s="41">
        <f>G18*0</f>
        <v>0</v>
      </c>
      <c r="AF18" s="41">
        <f>G18*(1-0)</f>
        <v>0</v>
      </c>
    </row>
    <row r="19" spans="1:32" ht="12.75">
      <c r="A19" s="9" t="s">
        <v>57</v>
      </c>
      <c r="B19" s="9"/>
      <c r="C19" s="9" t="s">
        <v>58</v>
      </c>
      <c r="D19" s="9" t="s">
        <v>59</v>
      </c>
      <c r="E19" s="9" t="s">
        <v>56</v>
      </c>
      <c r="F19" s="41">
        <v>39.2</v>
      </c>
      <c r="H19" s="41">
        <f>ROUND(F19*AE19,2)</f>
        <v>0</v>
      </c>
      <c r="I19" s="41">
        <f>J19-H19</f>
        <v>0</v>
      </c>
      <c r="J19" s="41">
        <f>ROUND(F19*G19,2)</f>
        <v>0</v>
      </c>
      <c r="K19" s="41">
        <v>0.154</v>
      </c>
      <c r="L19" s="41">
        <f>F19*K19</f>
        <v>6.0368</v>
      </c>
      <c r="N19" s="42" t="s">
        <v>44</v>
      </c>
      <c r="O19" s="41">
        <f>IF(N19="5",I19,0)</f>
        <v>0</v>
      </c>
      <c r="Z19" s="41">
        <f>IF(AD19=0,J19,0)</f>
        <v>0</v>
      </c>
      <c r="AA19" s="41">
        <f>IF(AD19=14,J19,0)</f>
        <v>0</v>
      </c>
      <c r="AB19" s="41">
        <f>IF(AD19=20,J19,0)</f>
        <v>0</v>
      </c>
      <c r="AD19" s="41">
        <v>20</v>
      </c>
      <c r="AE19" s="41">
        <f>G19*0</f>
        <v>0</v>
      </c>
      <c r="AF19" s="41">
        <f>G19*(1-0)</f>
        <v>0</v>
      </c>
    </row>
    <row r="20" spans="1:32" s="39" customFormat="1" ht="12.75">
      <c r="A20" s="34"/>
      <c r="B20" s="34"/>
      <c r="C20" s="34" t="s">
        <v>60</v>
      </c>
      <c r="D20" s="34" t="s">
        <v>61</v>
      </c>
      <c r="E20" s="34" t="s">
        <v>62</v>
      </c>
      <c r="F20" s="37">
        <v>120</v>
      </c>
      <c r="H20" s="37">
        <f>ROUND(F20*AE20,2)</f>
        <v>0</v>
      </c>
      <c r="I20" s="37">
        <v>106</v>
      </c>
      <c r="J20" s="37">
        <f>ROUND(F20*G20,2)</f>
        <v>0</v>
      </c>
      <c r="K20" s="37">
        <v>0</v>
      </c>
      <c r="L20" s="37">
        <f>F20*K20</f>
        <v>0</v>
      </c>
      <c r="N20" s="36"/>
      <c r="O20" s="37"/>
      <c r="Z20" s="37"/>
      <c r="AA20" s="37"/>
      <c r="AB20" s="37"/>
      <c r="AD20" s="37"/>
      <c r="AE20" s="37"/>
      <c r="AF20" s="37"/>
    </row>
    <row r="21" spans="1:37" ht="12.75">
      <c r="A21" s="29"/>
      <c r="B21" s="29"/>
      <c r="C21" s="30" t="s">
        <v>63</v>
      </c>
      <c r="D21" s="30" t="s">
        <v>64</v>
      </c>
      <c r="E21" s="30"/>
      <c r="F21" s="30"/>
      <c r="G21" s="30"/>
      <c r="H21" s="31">
        <f>SUM(H22:H23)</f>
        <v>0</v>
      </c>
      <c r="I21" s="31">
        <f>SUM(I22:I23)</f>
        <v>0</v>
      </c>
      <c r="J21" s="31">
        <f>H21+I21</f>
        <v>0</v>
      </c>
      <c r="K21" s="28"/>
      <c r="L21" s="31">
        <f>SUM(L22:L23)</f>
        <v>0</v>
      </c>
      <c r="P21" s="31">
        <f>IF(Q21="PR",J21,SUM(O22:O23))</f>
        <v>0</v>
      </c>
      <c r="Q21" s="28" t="s">
        <v>53</v>
      </c>
      <c r="R21" s="31">
        <f>IF(Q21="HS",H21,0)</f>
        <v>0</v>
      </c>
      <c r="S21" s="31">
        <f>IF(Q21="HS",I21-P21,0)</f>
        <v>0</v>
      </c>
      <c r="T21" s="31">
        <f>IF(Q21="PS",H21,0)</f>
        <v>0</v>
      </c>
      <c r="U21" s="31">
        <f>IF(Q21="PS",I21-P21,0)</f>
        <v>0</v>
      </c>
      <c r="V21" s="31">
        <f>IF(Q21="MP",H21,0)</f>
        <v>0</v>
      </c>
      <c r="W21" s="31">
        <f>IF(Q21="MP",I21-P21,0)</f>
        <v>0</v>
      </c>
      <c r="X21" s="31">
        <f>IF(Q21="OM",H21,0)</f>
        <v>0</v>
      </c>
      <c r="Y21" s="28"/>
      <c r="AI21" s="31">
        <f>SUM(Z22:Z23)</f>
        <v>0</v>
      </c>
      <c r="AJ21" s="31">
        <f>SUM(AA22:AA23)</f>
        <v>0</v>
      </c>
      <c r="AK21" s="31">
        <f>SUM(AB22:AB23)</f>
        <v>0</v>
      </c>
    </row>
    <row r="22" spans="1:32" ht="12.75">
      <c r="A22" s="9" t="s">
        <v>65</v>
      </c>
      <c r="B22" s="9"/>
      <c r="C22" s="9" t="s">
        <v>66</v>
      </c>
      <c r="D22" s="9" t="s">
        <v>67</v>
      </c>
      <c r="E22" s="9" t="s">
        <v>68</v>
      </c>
      <c r="F22" s="41">
        <v>12.546</v>
      </c>
      <c r="H22" s="41">
        <f>ROUND(F22*AE22,2)</f>
        <v>0</v>
      </c>
      <c r="I22" s="41">
        <f>J22-H22</f>
        <v>0</v>
      </c>
      <c r="J22" s="41">
        <f>ROUND(F22*G22,2)</f>
        <v>0</v>
      </c>
      <c r="K22" s="41">
        <v>0</v>
      </c>
      <c r="L22" s="41">
        <f>F22*K22</f>
        <v>0</v>
      </c>
      <c r="N22" s="42" t="s">
        <v>44</v>
      </c>
      <c r="O22" s="41">
        <f>IF(N22="5",I22,0)</f>
        <v>0</v>
      </c>
      <c r="Z22" s="41">
        <f>IF(AD22=0,J22,0)</f>
        <v>0</v>
      </c>
      <c r="AA22" s="41">
        <f>IF(AD22=14,J22,0)</f>
        <v>0</v>
      </c>
      <c r="AB22" s="41">
        <f>IF(AD22=20,J22,0)</f>
        <v>0</v>
      </c>
      <c r="AD22" s="41">
        <v>20</v>
      </c>
      <c r="AE22" s="41">
        <f>G22*0</f>
        <v>0</v>
      </c>
      <c r="AF22" s="41">
        <f>G22*(1-0)</f>
        <v>0</v>
      </c>
    </row>
    <row r="23" spans="1:32" ht="12.75">
      <c r="A23" s="9" t="s">
        <v>69</v>
      </c>
      <c r="B23" s="9"/>
      <c r="C23" s="9" t="s">
        <v>70</v>
      </c>
      <c r="D23" s="9" t="s">
        <v>71</v>
      </c>
      <c r="E23" s="9" t="s">
        <v>68</v>
      </c>
      <c r="F23" s="41">
        <v>10</v>
      </c>
      <c r="H23" s="41">
        <f>ROUND(F23*AE23,2)</f>
        <v>0</v>
      </c>
      <c r="I23" s="41">
        <f>J23-H23</f>
        <v>0</v>
      </c>
      <c r="J23" s="41">
        <f>ROUND(F23*G23,2)</f>
        <v>0</v>
      </c>
      <c r="K23" s="41">
        <v>0</v>
      </c>
      <c r="L23" s="41">
        <f>F23*K23</f>
        <v>0</v>
      </c>
      <c r="N23" s="42" t="s">
        <v>44</v>
      </c>
      <c r="O23" s="41">
        <f>IF(N23="5",I23,0)</f>
        <v>0</v>
      </c>
      <c r="Z23" s="41">
        <f>IF(AD23=0,J23,0)</f>
        <v>0</v>
      </c>
      <c r="AA23" s="41">
        <f>IF(AD23=14,J23,0)</f>
        <v>0</v>
      </c>
      <c r="AB23" s="41">
        <f>IF(AD23=20,J23,0)</f>
        <v>0</v>
      </c>
      <c r="AD23" s="41">
        <v>20</v>
      </c>
      <c r="AE23" s="41">
        <f>G23*0</f>
        <v>0</v>
      </c>
      <c r="AF23" s="41">
        <f>G23*(1-0)</f>
        <v>0</v>
      </c>
    </row>
    <row r="24" spans="1:37" ht="12.75">
      <c r="A24" s="29"/>
      <c r="B24" s="29"/>
      <c r="C24" s="30" t="s">
        <v>72</v>
      </c>
      <c r="D24" s="30" t="s">
        <v>73</v>
      </c>
      <c r="E24" s="30"/>
      <c r="F24" s="30"/>
      <c r="G24" s="30"/>
      <c r="H24" s="31">
        <f>SUM(H25:H25)</f>
        <v>0</v>
      </c>
      <c r="I24" s="31">
        <f>SUM(I25:I25)</f>
        <v>0</v>
      </c>
      <c r="J24" s="31">
        <f>H24+I24</f>
        <v>0</v>
      </c>
      <c r="K24" s="28"/>
      <c r="L24" s="31">
        <f>SUM(L25:L25)</f>
        <v>0</v>
      </c>
      <c r="P24" s="31">
        <f>IF(Q24="PR",J24,SUM(O25:O25))</f>
        <v>0</v>
      </c>
      <c r="Q24" s="28" t="s">
        <v>53</v>
      </c>
      <c r="R24" s="31">
        <f>IF(Q24="HS",H24,0)</f>
        <v>0</v>
      </c>
      <c r="S24" s="31">
        <f>IF(Q24="HS",I24-P24,0)</f>
        <v>0</v>
      </c>
      <c r="T24" s="31">
        <f>IF(Q24="PS",H24,0)</f>
        <v>0</v>
      </c>
      <c r="U24" s="31">
        <f>IF(Q24="PS",I24-P24,0)</f>
        <v>0</v>
      </c>
      <c r="V24" s="31">
        <f>IF(Q24="MP",H24,0)</f>
        <v>0</v>
      </c>
      <c r="W24" s="31">
        <f>IF(Q24="MP",I24-P24,0)</f>
        <v>0</v>
      </c>
      <c r="X24" s="31">
        <f>IF(Q24="OM",H24,0)</f>
        <v>0</v>
      </c>
      <c r="Y24" s="28"/>
      <c r="AI24" s="31">
        <f>SUM(Z25:Z25)</f>
        <v>0</v>
      </c>
      <c r="AJ24" s="31">
        <f>SUM(AA25:AA25)</f>
        <v>0</v>
      </c>
      <c r="AK24" s="31">
        <f>SUM(AB25:AB25)</f>
        <v>0</v>
      </c>
    </row>
    <row r="25" spans="1:32" ht="12.75">
      <c r="A25" s="9" t="s">
        <v>74</v>
      </c>
      <c r="B25" s="9"/>
      <c r="C25" s="9" t="s">
        <v>75</v>
      </c>
      <c r="D25" s="9" t="s">
        <v>76</v>
      </c>
      <c r="E25" s="9" t="s">
        <v>68</v>
      </c>
      <c r="F25" s="41">
        <v>25</v>
      </c>
      <c r="H25" s="41">
        <f>ROUND(F25*AE25,2)</f>
        <v>0</v>
      </c>
      <c r="I25" s="41">
        <f>J25-H25</f>
        <v>0</v>
      </c>
      <c r="J25" s="41">
        <f>ROUND(F25*G25,2)</f>
        <v>0</v>
      </c>
      <c r="K25" s="41">
        <v>0</v>
      </c>
      <c r="L25" s="41">
        <f>F25*K25</f>
        <v>0</v>
      </c>
      <c r="N25" s="42" t="s">
        <v>44</v>
      </c>
      <c r="O25" s="41">
        <f>IF(N25="5",I25,0)</f>
        <v>0</v>
      </c>
      <c r="Z25" s="41">
        <f>IF(AD25=0,J25,0)</f>
        <v>0</v>
      </c>
      <c r="AA25" s="41">
        <f>IF(AD25=14,J25,0)</f>
        <v>0</v>
      </c>
      <c r="AB25" s="41">
        <f>IF(AD25=20,J25,0)</f>
        <v>0</v>
      </c>
      <c r="AD25" s="41">
        <v>20</v>
      </c>
      <c r="AE25" s="41">
        <f>G25*0</f>
        <v>0</v>
      </c>
      <c r="AF25" s="41">
        <f>G25*(1-0)</f>
        <v>0</v>
      </c>
    </row>
    <row r="26" spans="1:37" ht="12.75">
      <c r="A26" s="29"/>
      <c r="B26" s="29"/>
      <c r="C26" s="30" t="s">
        <v>77</v>
      </c>
      <c r="D26" s="30" t="s">
        <v>78</v>
      </c>
      <c r="E26" s="30"/>
      <c r="F26" s="30"/>
      <c r="G26" s="30"/>
      <c r="H26" s="31">
        <f>SUM(H27:H27)</f>
        <v>0</v>
      </c>
      <c r="I26" s="31">
        <f>SUM(I27:I27)</f>
        <v>0</v>
      </c>
      <c r="J26" s="31">
        <f>H26+I26</f>
        <v>0</v>
      </c>
      <c r="K26" s="28"/>
      <c r="L26" s="31">
        <f>SUM(L27:L27)</f>
        <v>0</v>
      </c>
      <c r="P26" s="31">
        <f>IF(Q26="PR",J26,SUM(O27:O27))</f>
        <v>0</v>
      </c>
      <c r="Q26" s="28" t="s">
        <v>53</v>
      </c>
      <c r="R26" s="31">
        <f>IF(Q26="HS",H26,0)</f>
        <v>0</v>
      </c>
      <c r="S26" s="31">
        <f>IF(Q26="HS",I26-P26,0)</f>
        <v>0</v>
      </c>
      <c r="T26" s="31">
        <f>IF(Q26="PS",H26,0)</f>
        <v>0</v>
      </c>
      <c r="U26" s="31">
        <f>IF(Q26="PS",I26-P26,0)</f>
        <v>0</v>
      </c>
      <c r="V26" s="31">
        <f>IF(Q26="MP",H26,0)</f>
        <v>0</v>
      </c>
      <c r="W26" s="31">
        <f>IF(Q26="MP",I26-P26,0)</f>
        <v>0</v>
      </c>
      <c r="X26" s="31">
        <f>IF(Q26="OM",H26,0)</f>
        <v>0</v>
      </c>
      <c r="Y26" s="28"/>
      <c r="AI26" s="31">
        <f>SUM(Z27:Z27)</f>
        <v>0</v>
      </c>
      <c r="AJ26" s="31">
        <f>SUM(AA27:AA27)</f>
        <v>0</v>
      </c>
      <c r="AK26" s="31">
        <f>SUM(AB27:AB27)</f>
        <v>0</v>
      </c>
    </row>
    <row r="27" spans="1:32" ht="12.75">
      <c r="A27" s="9" t="s">
        <v>79</v>
      </c>
      <c r="B27" s="9"/>
      <c r="C27" s="9" t="s">
        <v>80</v>
      </c>
      <c r="D27" s="9" t="s">
        <v>81</v>
      </c>
      <c r="E27" s="9" t="s">
        <v>68</v>
      </c>
      <c r="F27" s="41">
        <v>25</v>
      </c>
      <c r="H27" s="41">
        <f>ROUND(F27*AE27,2)</f>
        <v>0</v>
      </c>
      <c r="I27" s="41">
        <f>J27-H27</f>
        <v>0</v>
      </c>
      <c r="J27" s="41">
        <f>ROUND(F27*G27,2)</f>
        <v>0</v>
      </c>
      <c r="K27" s="41">
        <v>0</v>
      </c>
      <c r="L27" s="41">
        <f>F27*K27</f>
        <v>0</v>
      </c>
      <c r="N27" s="42" t="s">
        <v>44</v>
      </c>
      <c r="O27" s="41">
        <f>IF(N27="5",I27,0)</f>
        <v>0</v>
      </c>
      <c r="Z27" s="41">
        <f>IF(AD27=0,J27,0)</f>
        <v>0</v>
      </c>
      <c r="AA27" s="41">
        <f>IF(AD27=14,J27,0)</f>
        <v>0</v>
      </c>
      <c r="AB27" s="41">
        <f>IF(AD27=20,J27,0)</f>
        <v>0</v>
      </c>
      <c r="AD27" s="41">
        <v>20</v>
      </c>
      <c r="AE27" s="41">
        <f>G27*0</f>
        <v>0</v>
      </c>
      <c r="AF27" s="41">
        <f>G27*(1-0)</f>
        <v>0</v>
      </c>
    </row>
    <row r="28" spans="1:37" ht="12.75">
      <c r="A28" s="29"/>
      <c r="B28" s="29"/>
      <c r="C28" s="30" t="s">
        <v>82</v>
      </c>
      <c r="D28" s="30" t="s">
        <v>83</v>
      </c>
      <c r="E28" s="30"/>
      <c r="F28" s="30"/>
      <c r="G28" s="30"/>
      <c r="H28" s="31">
        <f>SUM(H29:H31)</f>
        <v>0</v>
      </c>
      <c r="I28" s="31">
        <f>SUM(I29:I31)</f>
        <v>0</v>
      </c>
      <c r="J28" s="31">
        <f>H28+I28</f>
        <v>0</v>
      </c>
      <c r="K28" s="28"/>
      <c r="L28" s="31">
        <f>SUM(L29:L31)</f>
        <v>0</v>
      </c>
      <c r="P28" s="31">
        <f>IF(Q28="PR",J28,SUM(O29:O31))</f>
        <v>0</v>
      </c>
      <c r="Q28" s="28" t="s">
        <v>53</v>
      </c>
      <c r="R28" s="31">
        <f>IF(Q28="HS",H28,0)</f>
        <v>0</v>
      </c>
      <c r="S28" s="31">
        <f>IF(Q28="HS",I28-P28,0)</f>
        <v>0</v>
      </c>
      <c r="T28" s="31">
        <f>IF(Q28="PS",H28,0)</f>
        <v>0</v>
      </c>
      <c r="U28" s="31">
        <f>IF(Q28="PS",I28-P28,0)</f>
        <v>0</v>
      </c>
      <c r="V28" s="31">
        <f>IF(Q28="MP",H28,0)</f>
        <v>0</v>
      </c>
      <c r="W28" s="31">
        <f>IF(Q28="MP",I28-P28,0)</f>
        <v>0</v>
      </c>
      <c r="X28" s="31">
        <f>IF(Q28="OM",H28,0)</f>
        <v>0</v>
      </c>
      <c r="Y28" s="28"/>
      <c r="AI28" s="31">
        <f>SUM(Z29:Z31)</f>
        <v>0</v>
      </c>
      <c r="AJ28" s="31">
        <f>SUM(AA29:AA31)</f>
        <v>0</v>
      </c>
      <c r="AK28" s="31">
        <f>SUM(AB29:AB31)</f>
        <v>0</v>
      </c>
    </row>
    <row r="29" spans="1:32" ht="12.75">
      <c r="A29" s="9" t="s">
        <v>84</v>
      </c>
      <c r="B29" s="9"/>
      <c r="C29" s="9" t="s">
        <v>85</v>
      </c>
      <c r="D29" s="9" t="s">
        <v>86</v>
      </c>
      <c r="E29" s="9" t="s">
        <v>68</v>
      </c>
      <c r="F29" s="41">
        <v>25</v>
      </c>
      <c r="H29" s="41">
        <f>ROUND(F29*AE29,2)</f>
        <v>0</v>
      </c>
      <c r="I29" s="41">
        <f>J29-H29</f>
        <v>0</v>
      </c>
      <c r="J29" s="41">
        <f>ROUND(F29*G29,2)</f>
        <v>0</v>
      </c>
      <c r="K29" s="41">
        <v>0</v>
      </c>
      <c r="L29" s="41">
        <f>F29*K29</f>
        <v>0</v>
      </c>
      <c r="N29" s="42" t="s">
        <v>44</v>
      </c>
      <c r="O29" s="41">
        <f>IF(N29="5",I29,0)</f>
        <v>0</v>
      </c>
      <c r="Z29" s="41">
        <f>IF(AD29=0,J29,0)</f>
        <v>0</v>
      </c>
      <c r="AA29" s="41">
        <f>IF(AD29=14,J29,0)</f>
        <v>0</v>
      </c>
      <c r="AB29" s="41">
        <f>IF(AD29=20,J29,0)</f>
        <v>0</v>
      </c>
      <c r="AD29" s="41">
        <v>20</v>
      </c>
      <c r="AE29" s="41">
        <f>G29*0</f>
        <v>0</v>
      </c>
      <c r="AF29" s="41">
        <f>G29*(1-0)</f>
        <v>0</v>
      </c>
    </row>
    <row r="30" spans="1:32" ht="12.75">
      <c r="A30" s="9" t="s">
        <v>87</v>
      </c>
      <c r="B30" s="9"/>
      <c r="C30" s="9" t="s">
        <v>88</v>
      </c>
      <c r="D30" s="9" t="s">
        <v>89</v>
      </c>
      <c r="E30" s="9" t="s">
        <v>90</v>
      </c>
      <c r="F30" s="41">
        <v>45</v>
      </c>
      <c r="H30" s="41">
        <f>ROUND(F30*AE30,2)</f>
        <v>0</v>
      </c>
      <c r="I30" s="41">
        <f>J30-H30</f>
        <v>0</v>
      </c>
      <c r="J30" s="41">
        <f>ROUND(F30*G30,2)</f>
        <v>0</v>
      </c>
      <c r="K30" s="41">
        <v>0</v>
      </c>
      <c r="L30" s="41">
        <f>F30*K30</f>
        <v>0</v>
      </c>
      <c r="N30" s="42" t="s">
        <v>44</v>
      </c>
      <c r="O30" s="41">
        <f>IF(N30="5",I30,0)</f>
        <v>0</v>
      </c>
      <c r="Z30" s="41">
        <f>IF(AD30=0,J30,0)</f>
        <v>0</v>
      </c>
      <c r="AA30" s="41">
        <f>IF(AD30=14,J30,0)</f>
        <v>0</v>
      </c>
      <c r="AB30" s="41">
        <f>IF(AD30=20,J30,0)</f>
        <v>0</v>
      </c>
      <c r="AD30" s="41">
        <v>20</v>
      </c>
      <c r="AE30" s="41">
        <f>G30*1</f>
        <v>0</v>
      </c>
      <c r="AF30" s="41">
        <f>G30*(1-1)</f>
        <v>0</v>
      </c>
    </row>
    <row r="31" spans="1:32" ht="12.75">
      <c r="A31" s="9" t="s">
        <v>91</v>
      </c>
      <c r="B31" s="9"/>
      <c r="C31" s="9" t="s">
        <v>92</v>
      </c>
      <c r="D31" s="9" t="s">
        <v>93</v>
      </c>
      <c r="E31" s="9" t="s">
        <v>68</v>
      </c>
      <c r="F31" s="41">
        <v>2.83</v>
      </c>
      <c r="H31" s="41">
        <f>ROUND(F31*AE31,2)</f>
        <v>0</v>
      </c>
      <c r="I31" s="41">
        <f>J31-H31</f>
        <v>0</v>
      </c>
      <c r="J31" s="41">
        <f>ROUND(F31*G31,2)</f>
        <v>0</v>
      </c>
      <c r="K31" s="41">
        <v>0</v>
      </c>
      <c r="L31" s="41">
        <f>F31*K31</f>
        <v>0</v>
      </c>
      <c r="N31" s="42" t="s">
        <v>44</v>
      </c>
      <c r="O31" s="41">
        <f>IF(N31="5",I31,0)</f>
        <v>0</v>
      </c>
      <c r="Z31" s="41">
        <f>IF(AD31=0,J31,0)</f>
        <v>0</v>
      </c>
      <c r="AA31" s="41">
        <f>IF(AD31=14,J31,0)</f>
        <v>0</v>
      </c>
      <c r="AB31" s="41">
        <f>IF(AD31=20,J31,0)</f>
        <v>0</v>
      </c>
      <c r="AD31" s="41">
        <v>20</v>
      </c>
      <c r="AE31" s="41">
        <f>G31*0</f>
        <v>0</v>
      </c>
      <c r="AF31" s="41">
        <f>G31*(1-0)</f>
        <v>0</v>
      </c>
    </row>
    <row r="32" spans="1:37" ht="12.75">
      <c r="A32" s="29"/>
      <c r="B32" s="29"/>
      <c r="C32" s="30" t="s">
        <v>94</v>
      </c>
      <c r="D32" s="30" t="s">
        <v>95</v>
      </c>
      <c r="E32" s="30"/>
      <c r="F32" s="30"/>
      <c r="G32" s="30"/>
      <c r="H32" s="31">
        <f>SUM(H33:H33)</f>
        <v>0</v>
      </c>
      <c r="I32" s="31">
        <f>SUM(I33:I33)</f>
        <v>0</v>
      </c>
      <c r="J32" s="31">
        <f>H32+I32</f>
        <v>0</v>
      </c>
      <c r="K32" s="28"/>
      <c r="L32" s="31">
        <f>SUM(L33:L33)</f>
        <v>2.254914</v>
      </c>
      <c r="P32" s="31">
        <f>IF(Q32="PR",J32,SUM(O33:O33))</f>
        <v>0</v>
      </c>
      <c r="Q32" s="28" t="s">
        <v>53</v>
      </c>
      <c r="R32" s="31">
        <f>IF(Q32="HS",H32,0)</f>
        <v>0</v>
      </c>
      <c r="S32" s="31">
        <f>IF(Q32="HS",I32-P32,0)</f>
        <v>0</v>
      </c>
      <c r="T32" s="31">
        <f>IF(Q32="PS",H32,0)</f>
        <v>0</v>
      </c>
      <c r="U32" s="31">
        <f>IF(Q32="PS",I32-P32,0)</f>
        <v>0</v>
      </c>
      <c r="V32" s="31">
        <f>IF(Q32="MP",H32,0)</f>
        <v>0</v>
      </c>
      <c r="W32" s="31">
        <f>IF(Q32="MP",I32-P32,0)</f>
        <v>0</v>
      </c>
      <c r="X32" s="31">
        <f>IF(Q32="OM",H32,0)</f>
        <v>0</v>
      </c>
      <c r="Y32" s="28"/>
      <c r="AI32" s="31">
        <f>SUM(Z33:Z33)</f>
        <v>0</v>
      </c>
      <c r="AJ32" s="31">
        <f>SUM(AA33:AA33)</f>
        <v>0</v>
      </c>
      <c r="AK32" s="31">
        <f>SUM(AB33:AB33)</f>
        <v>0</v>
      </c>
    </row>
    <row r="33" spans="1:32" ht="12.75">
      <c r="A33" s="9" t="s">
        <v>96</v>
      </c>
      <c r="B33" s="9"/>
      <c r="C33" s="9" t="s">
        <v>97</v>
      </c>
      <c r="D33" s="9" t="s">
        <v>98</v>
      </c>
      <c r="E33" s="9" t="s">
        <v>99</v>
      </c>
      <c r="F33" s="41">
        <v>10.2</v>
      </c>
      <c r="H33" s="41">
        <f>ROUND(F33*AE33,2)</f>
        <v>0</v>
      </c>
      <c r="I33" s="41">
        <f>J33-H33</f>
        <v>0</v>
      </c>
      <c r="J33" s="41">
        <f>ROUND(F33*G33,2)</f>
        <v>0</v>
      </c>
      <c r="K33" s="41">
        <v>0.22107</v>
      </c>
      <c r="L33" s="41">
        <f>F33*K33</f>
        <v>2.254914</v>
      </c>
      <c r="N33" s="42" t="s">
        <v>44</v>
      </c>
      <c r="O33" s="41">
        <f>IF(N33="5",I33,0)</f>
        <v>0</v>
      </c>
      <c r="Z33" s="41">
        <f>IF(AD33=0,J33,0)</f>
        <v>0</v>
      </c>
      <c r="AA33" s="41">
        <f>IF(AD33=14,J33,0)</f>
        <v>0</v>
      </c>
      <c r="AB33" s="41">
        <f>IF(AD33=20,J33,0)</f>
        <v>0</v>
      </c>
      <c r="AD33" s="41">
        <v>20</v>
      </c>
      <c r="AE33" s="41">
        <f>G33*0.660956237346208</f>
        <v>0</v>
      </c>
      <c r="AF33" s="41">
        <f>G33*(1-0.660956237346208)</f>
        <v>0</v>
      </c>
    </row>
    <row r="34" spans="1:37" ht="12.75">
      <c r="A34" s="29"/>
      <c r="B34" s="29"/>
      <c r="C34" s="30" t="s">
        <v>100</v>
      </c>
      <c r="D34" s="30" t="s">
        <v>101</v>
      </c>
      <c r="E34" s="30"/>
      <c r="F34" s="30"/>
      <c r="G34" s="30"/>
      <c r="H34" s="31">
        <f>SUM(H35:H38)</f>
        <v>0</v>
      </c>
      <c r="I34" s="31">
        <f>SUM(I35:I38)</f>
        <v>0</v>
      </c>
      <c r="J34" s="31">
        <f>H34+I34</f>
        <v>0</v>
      </c>
      <c r="K34" s="28"/>
      <c r="L34" s="31">
        <f>SUM(L35:L38)</f>
        <v>5.31923689</v>
      </c>
      <c r="P34" s="31">
        <f>IF(Q34="PR",J34,SUM(O35:O38))</f>
        <v>0</v>
      </c>
      <c r="Q34" s="28" t="s">
        <v>53</v>
      </c>
      <c r="R34" s="31">
        <f>IF(Q34="HS",H34,0)</f>
        <v>0</v>
      </c>
      <c r="S34" s="31">
        <f>IF(Q34="HS",I34-P34,0)</f>
        <v>0</v>
      </c>
      <c r="T34" s="31">
        <f>IF(Q34="PS",H34,0)</f>
        <v>0</v>
      </c>
      <c r="U34" s="31">
        <f>IF(Q34="PS",I34-P34,0)</f>
        <v>0</v>
      </c>
      <c r="V34" s="31">
        <f>IF(Q34="MP",H34,0)</f>
        <v>0</v>
      </c>
      <c r="W34" s="31">
        <f>IF(Q34="MP",I34-P34,0)</f>
        <v>0</v>
      </c>
      <c r="X34" s="31">
        <f>IF(Q34="OM",H34,0)</f>
        <v>0</v>
      </c>
      <c r="Y34" s="28"/>
      <c r="AI34" s="31">
        <f>SUM(Z35:Z38)</f>
        <v>0</v>
      </c>
      <c r="AJ34" s="31">
        <f>SUM(AA35:AA38)</f>
        <v>0</v>
      </c>
      <c r="AK34" s="31">
        <f>SUM(AB35:AB38)</f>
        <v>0</v>
      </c>
    </row>
    <row r="35" spans="1:32" ht="12.75">
      <c r="A35" s="9" t="s">
        <v>51</v>
      </c>
      <c r="B35" s="9"/>
      <c r="C35" s="9" t="s">
        <v>102</v>
      </c>
      <c r="D35" s="9" t="s">
        <v>103</v>
      </c>
      <c r="E35" s="9" t="s">
        <v>68</v>
      </c>
      <c r="F35" s="41">
        <v>1.96</v>
      </c>
      <c r="H35" s="41">
        <f>ROUND(F35*AE35,2)</f>
        <v>0</v>
      </c>
      <c r="I35" s="41">
        <f>J35-H35</f>
        <v>0</v>
      </c>
      <c r="J35" s="41">
        <f>ROUND(F35*G35,2)</f>
        <v>0</v>
      </c>
      <c r="K35" s="41">
        <v>2.54295</v>
      </c>
      <c r="L35" s="41">
        <f>F35*K35</f>
        <v>4.984182</v>
      </c>
      <c r="N35" s="42" t="s">
        <v>44</v>
      </c>
      <c r="O35" s="41">
        <f>IF(N35="5",I35,0)</f>
        <v>0</v>
      </c>
      <c r="Z35" s="41">
        <f>IF(AD35=0,J35,0)</f>
        <v>0</v>
      </c>
      <c r="AA35" s="41">
        <f>IF(AD35=14,J35,0)</f>
        <v>0</v>
      </c>
      <c r="AB35" s="41">
        <f>IF(AD35=20,J35,0)</f>
        <v>0</v>
      </c>
      <c r="AD35" s="41">
        <v>20</v>
      </c>
      <c r="AE35" s="41">
        <f>G35*0.802177484356445</f>
        <v>0</v>
      </c>
      <c r="AF35" s="41">
        <f>G35*(1-0.802177484356445)</f>
        <v>0</v>
      </c>
    </row>
    <row r="36" spans="1:32" ht="12.75">
      <c r="A36" s="9" t="s">
        <v>63</v>
      </c>
      <c r="B36" s="9"/>
      <c r="C36" s="9" t="s">
        <v>104</v>
      </c>
      <c r="D36" s="9" t="s">
        <v>105</v>
      </c>
      <c r="E36" s="9" t="s">
        <v>56</v>
      </c>
      <c r="F36" s="41">
        <v>6.345</v>
      </c>
      <c r="H36" s="41">
        <f>ROUND(F36*AE36,2)</f>
        <v>0</v>
      </c>
      <c r="I36" s="41">
        <f>J36-H36</f>
        <v>0</v>
      </c>
      <c r="J36" s="41">
        <f>ROUND(F36*G36,2)</f>
        <v>0</v>
      </c>
      <c r="K36" s="41">
        <v>0.01553</v>
      </c>
      <c r="L36" s="41">
        <f>F36*K36</f>
        <v>0.09853785</v>
      </c>
      <c r="N36" s="42" t="s">
        <v>44</v>
      </c>
      <c r="O36" s="41">
        <f>IF(N36="5",I36,0)</f>
        <v>0</v>
      </c>
      <c r="Z36" s="41">
        <f>IF(AD36=0,J36,0)</f>
        <v>0</v>
      </c>
      <c r="AA36" s="41">
        <f>IF(AD36=14,J36,0)</f>
        <v>0</v>
      </c>
      <c r="AB36" s="41">
        <f>IF(AD36=20,J36,0)</f>
        <v>0</v>
      </c>
      <c r="AD36" s="41">
        <v>20</v>
      </c>
      <c r="AE36" s="41">
        <f>G36*0.35818805975874</f>
        <v>0</v>
      </c>
      <c r="AF36" s="41">
        <f>G36*(1-0.35818805975874)</f>
        <v>0</v>
      </c>
    </row>
    <row r="37" spans="1:32" ht="12.75">
      <c r="A37" s="9" t="s">
        <v>72</v>
      </c>
      <c r="B37" s="9"/>
      <c r="C37" s="9" t="s">
        <v>106</v>
      </c>
      <c r="D37" s="9" t="s">
        <v>107</v>
      </c>
      <c r="E37" s="9" t="s">
        <v>56</v>
      </c>
      <c r="F37" s="41">
        <v>6.345</v>
      </c>
      <c r="H37" s="41">
        <f>ROUND(F37*AE37,2)</f>
        <v>0</v>
      </c>
      <c r="I37" s="41">
        <f>J37-H37</f>
        <v>0</v>
      </c>
      <c r="J37" s="41">
        <f>ROUND(F37*G37,2)</f>
        <v>0</v>
      </c>
      <c r="K37" s="41">
        <v>0</v>
      </c>
      <c r="L37" s="41">
        <f>F37*K37</f>
        <v>0</v>
      </c>
      <c r="N37" s="42" t="s">
        <v>44</v>
      </c>
      <c r="O37" s="41">
        <f>IF(N37="5",I37,0)</f>
        <v>0</v>
      </c>
      <c r="Z37" s="41">
        <f>IF(AD37=0,J37,0)</f>
        <v>0</v>
      </c>
      <c r="AA37" s="41">
        <f>IF(AD37=14,J37,0)</f>
        <v>0</v>
      </c>
      <c r="AB37" s="41">
        <f>IF(AD37=20,J37,0)</f>
        <v>0</v>
      </c>
      <c r="AD37" s="41">
        <v>20</v>
      </c>
      <c r="AE37" s="41">
        <f>G37*0</f>
        <v>0</v>
      </c>
      <c r="AF37" s="41">
        <f>G37*(1-0)</f>
        <v>0</v>
      </c>
    </row>
    <row r="38" spans="1:32" ht="12.75">
      <c r="A38" s="9" t="s">
        <v>108</v>
      </c>
      <c r="B38" s="9"/>
      <c r="C38" s="9" t="s">
        <v>109</v>
      </c>
      <c r="D38" s="9" t="s">
        <v>110</v>
      </c>
      <c r="E38" s="9" t="s">
        <v>90</v>
      </c>
      <c r="F38" s="41">
        <v>0.232</v>
      </c>
      <c r="H38" s="41">
        <f>ROUND(F38*AE38,2)</f>
        <v>0</v>
      </c>
      <c r="I38" s="41">
        <f>J38-H38</f>
        <v>0</v>
      </c>
      <c r="J38" s="41">
        <f>ROUND(F38*G38,2)</f>
        <v>0</v>
      </c>
      <c r="K38" s="41">
        <v>1.01947</v>
      </c>
      <c r="L38" s="41">
        <f>F38*K38</f>
        <v>0.23651704000000004</v>
      </c>
      <c r="N38" s="42" t="s">
        <v>44</v>
      </c>
      <c r="O38" s="41">
        <f>IF(N38="5",I38,0)</f>
        <v>0</v>
      </c>
      <c r="Z38" s="41">
        <f>IF(AD38=0,J38,0)</f>
        <v>0</v>
      </c>
      <c r="AA38" s="41">
        <f>IF(AD38=14,J38,0)</f>
        <v>0</v>
      </c>
      <c r="AB38" s="41">
        <f>IF(AD38=20,J38,0)</f>
        <v>0</v>
      </c>
      <c r="AD38" s="41">
        <v>20</v>
      </c>
      <c r="AE38" s="41">
        <f>G38*0.480717752222923</f>
        <v>0</v>
      </c>
      <c r="AF38" s="41">
        <f>G38*(1-0.480717752222923)</f>
        <v>0</v>
      </c>
    </row>
    <row r="39" spans="1:37" ht="12.75">
      <c r="A39" s="29"/>
      <c r="B39" s="29"/>
      <c r="C39" s="30" t="s">
        <v>111</v>
      </c>
      <c r="D39" s="30" t="s">
        <v>112</v>
      </c>
      <c r="E39" s="30"/>
      <c r="F39" s="30"/>
      <c r="G39" s="30"/>
      <c r="H39" s="31">
        <f>SUM(H40:H40)</f>
        <v>0</v>
      </c>
      <c r="I39" s="31">
        <f>SUM(I40:I40)</f>
        <v>0</v>
      </c>
      <c r="J39" s="31">
        <f>H39+I39</f>
        <v>0</v>
      </c>
      <c r="K39" s="28"/>
      <c r="L39" s="31">
        <f>SUM(L40:L40)</f>
        <v>0.7820429999999999</v>
      </c>
      <c r="P39" s="31">
        <f>IF(Q39="PR",J39,SUM(O40:O40))</f>
        <v>0</v>
      </c>
      <c r="Q39" s="28" t="s">
        <v>53</v>
      </c>
      <c r="R39" s="31">
        <f>IF(Q39="HS",H39,0)</f>
        <v>0</v>
      </c>
      <c r="S39" s="31">
        <f>IF(Q39="HS",I39-P39,0)</f>
        <v>0</v>
      </c>
      <c r="T39" s="31">
        <f>IF(Q39="PS",H39,0)</f>
        <v>0</v>
      </c>
      <c r="U39" s="31">
        <f>IF(Q39="PS",I39-P39,0)</f>
        <v>0</v>
      </c>
      <c r="V39" s="31">
        <f>IF(Q39="MP",H39,0)</f>
        <v>0</v>
      </c>
      <c r="W39" s="31">
        <f>IF(Q39="MP",I39-P39,0)</f>
        <v>0</v>
      </c>
      <c r="X39" s="31">
        <f>IF(Q39="OM",H39,0)</f>
        <v>0</v>
      </c>
      <c r="Y39" s="28"/>
      <c r="AI39" s="31">
        <f>SUM(Z40:Z40)</f>
        <v>0</v>
      </c>
      <c r="AJ39" s="31">
        <f>SUM(AA40:AA40)</f>
        <v>0</v>
      </c>
      <c r="AK39" s="31">
        <f>SUM(AB40:AB40)</f>
        <v>0</v>
      </c>
    </row>
    <row r="40" spans="1:32" ht="12.75">
      <c r="A40" s="9" t="s">
        <v>113</v>
      </c>
      <c r="B40" s="9"/>
      <c r="C40" s="9" t="s">
        <v>114</v>
      </c>
      <c r="D40" s="9" t="s">
        <v>115</v>
      </c>
      <c r="E40" s="9" t="s">
        <v>68</v>
      </c>
      <c r="F40" s="41">
        <v>4.35</v>
      </c>
      <c r="H40" s="41">
        <f>ROUND(F40*AE40,2)</f>
        <v>0</v>
      </c>
      <c r="I40" s="41">
        <f>J40-H40</f>
        <v>0</v>
      </c>
      <c r="J40" s="41">
        <f>ROUND(F40*G40,2)</f>
        <v>0</v>
      </c>
      <c r="K40" s="41">
        <v>0.17978</v>
      </c>
      <c r="L40" s="41">
        <f>F40*K40</f>
        <v>0.7820429999999999</v>
      </c>
      <c r="N40" s="42" t="s">
        <v>44</v>
      </c>
      <c r="O40" s="41">
        <f>IF(N40="5",I40,0)</f>
        <v>0</v>
      </c>
      <c r="Z40" s="41">
        <f>IF(AD40=0,J40,0)</f>
        <v>0</v>
      </c>
      <c r="AA40" s="41">
        <f>IF(AD40=14,J40,0)</f>
        <v>0</v>
      </c>
      <c r="AB40" s="41">
        <f>IF(AD40=20,J40,0)</f>
        <v>0</v>
      </c>
      <c r="AD40" s="41">
        <v>20</v>
      </c>
      <c r="AE40" s="41">
        <f>G40*0.0374566891636698</f>
        <v>0</v>
      </c>
      <c r="AF40" s="41">
        <f>G40*(1-0.0374566891636698)</f>
        <v>0</v>
      </c>
    </row>
    <row r="41" spans="1:37" ht="12.75">
      <c r="A41" s="29"/>
      <c r="B41" s="29"/>
      <c r="C41" s="30" t="s">
        <v>116</v>
      </c>
      <c r="D41" s="30" t="s">
        <v>117</v>
      </c>
      <c r="E41" s="30"/>
      <c r="F41" s="30"/>
      <c r="G41" s="30"/>
      <c r="H41" s="31">
        <f>SUM(H42:H45)</f>
        <v>0</v>
      </c>
      <c r="I41" s="31">
        <f>SUM(I42:I45)</f>
        <v>0</v>
      </c>
      <c r="J41" s="31">
        <f>H41+I41</f>
        <v>0</v>
      </c>
      <c r="K41" s="28"/>
      <c r="L41" s="31">
        <f>SUM(L42:L45)</f>
        <v>23.89011658</v>
      </c>
      <c r="P41" s="31">
        <f>IF(Q41="PR",J41,SUM(O42:O45))</f>
        <v>0</v>
      </c>
      <c r="Q41" s="28" t="s">
        <v>53</v>
      </c>
      <c r="R41" s="31">
        <f>IF(Q41="HS",H41,0)</f>
        <v>0</v>
      </c>
      <c r="S41" s="31">
        <f>IF(Q41="HS",I41-P41,0)</f>
        <v>0</v>
      </c>
      <c r="T41" s="31">
        <f>IF(Q41="PS",H41,0)</f>
        <v>0</v>
      </c>
      <c r="U41" s="31">
        <f>IF(Q41="PS",I41-P41,0)</f>
        <v>0</v>
      </c>
      <c r="V41" s="31">
        <f>IF(Q41="MP",H41,0)</f>
        <v>0</v>
      </c>
      <c r="W41" s="31">
        <f>IF(Q41="MP",I41-P41,0)</f>
        <v>0</v>
      </c>
      <c r="X41" s="31">
        <f>IF(Q41="OM",H41,0)</f>
        <v>0</v>
      </c>
      <c r="Y41" s="28"/>
      <c r="AI41" s="31">
        <f>SUM(Z42:Z45)</f>
        <v>0</v>
      </c>
      <c r="AJ41" s="31">
        <f>SUM(AA42:AA45)</f>
        <v>0</v>
      </c>
      <c r="AK41" s="31">
        <f>SUM(AB42:AB45)</f>
        <v>0</v>
      </c>
    </row>
    <row r="42" spans="1:32" ht="12.75">
      <c r="A42" s="9" t="s">
        <v>77</v>
      </c>
      <c r="B42" s="9"/>
      <c r="C42" s="9" t="s">
        <v>118</v>
      </c>
      <c r="D42" s="9" t="s">
        <v>119</v>
      </c>
      <c r="E42" s="9" t="s">
        <v>68</v>
      </c>
      <c r="F42" s="41">
        <v>9.118</v>
      </c>
      <c r="H42" s="41">
        <f>ROUND(F42*AE42,2)</f>
        <v>0</v>
      </c>
      <c r="I42" s="41">
        <f>J42-H42</f>
        <v>0</v>
      </c>
      <c r="J42" s="41">
        <f>ROUND(F42*G42,2)</f>
        <v>0</v>
      </c>
      <c r="K42" s="41">
        <v>2.525</v>
      </c>
      <c r="L42" s="41">
        <f>F42*K42</f>
        <v>23.02295</v>
      </c>
      <c r="N42" s="42" t="s">
        <v>44</v>
      </c>
      <c r="O42" s="41">
        <f>IF(N42="5",I42,0)</f>
        <v>0</v>
      </c>
      <c r="Z42" s="41">
        <f>IF(AD42=0,J42,0)</f>
        <v>0</v>
      </c>
      <c r="AA42" s="41">
        <f>IF(AD42=14,J42,0)</f>
        <v>0</v>
      </c>
      <c r="AB42" s="41">
        <f>IF(AD42=20,J42,0)</f>
        <v>0</v>
      </c>
      <c r="AD42" s="41">
        <v>20</v>
      </c>
      <c r="AE42" s="41">
        <f>G42*0.933146384971701</f>
        <v>0</v>
      </c>
      <c r="AF42" s="41">
        <f>G42*(1-0.933146384971701)</f>
        <v>0</v>
      </c>
    </row>
    <row r="43" spans="1:32" ht="12.75">
      <c r="A43" s="9" t="s">
        <v>82</v>
      </c>
      <c r="B43" s="9"/>
      <c r="C43" s="9" t="s">
        <v>120</v>
      </c>
      <c r="D43" s="9" t="s">
        <v>121</v>
      </c>
      <c r="E43" s="9" t="s">
        <v>56</v>
      </c>
      <c r="F43" s="41">
        <v>13.16</v>
      </c>
      <c r="H43" s="41">
        <f>ROUND(F43*AE43,2)</f>
        <v>0</v>
      </c>
      <c r="I43" s="41">
        <f>J43-H43</f>
        <v>0</v>
      </c>
      <c r="J43" s="41">
        <f>ROUND(F43*G43,2)</f>
        <v>0</v>
      </c>
      <c r="K43" s="41">
        <v>0.03488</v>
      </c>
      <c r="L43" s="41">
        <f>F43*K43</f>
        <v>0.4590208</v>
      </c>
      <c r="N43" s="42" t="s">
        <v>44</v>
      </c>
      <c r="O43" s="41">
        <f>IF(N43="5",I43,0)</f>
        <v>0</v>
      </c>
      <c r="Z43" s="41">
        <f>IF(AD43=0,J43,0)</f>
        <v>0</v>
      </c>
      <c r="AA43" s="41">
        <f>IF(AD43=14,J43,0)</f>
        <v>0</v>
      </c>
      <c r="AB43" s="41">
        <f>IF(AD43=20,J43,0)</f>
        <v>0</v>
      </c>
      <c r="AD43" s="41">
        <v>20</v>
      </c>
      <c r="AE43" s="41">
        <f>G43*0.525103775449694</f>
        <v>0</v>
      </c>
      <c r="AF43" s="41">
        <f>G43*(1-0.525103775449694)</f>
        <v>0</v>
      </c>
    </row>
    <row r="44" spans="1:32" ht="12.75">
      <c r="A44" s="9" t="s">
        <v>122</v>
      </c>
      <c r="B44" s="9"/>
      <c r="C44" s="9" t="s">
        <v>123</v>
      </c>
      <c r="D44" s="9" t="s">
        <v>124</v>
      </c>
      <c r="E44" s="9" t="s">
        <v>56</v>
      </c>
      <c r="F44" s="41">
        <v>13.16</v>
      </c>
      <c r="H44" s="41">
        <f>ROUND(F44*AE44,2)</f>
        <v>0</v>
      </c>
      <c r="I44" s="41">
        <f>J44-H44</f>
        <v>0</v>
      </c>
      <c r="J44" s="41">
        <f>ROUND(F44*G44,2)</f>
        <v>0</v>
      </c>
      <c r="K44" s="41">
        <v>5E-05</v>
      </c>
      <c r="L44" s="41">
        <f>F44*K44</f>
        <v>0.0006580000000000001</v>
      </c>
      <c r="N44" s="42" t="s">
        <v>44</v>
      </c>
      <c r="O44" s="41">
        <f>IF(N44="5",I44,0)</f>
        <v>0</v>
      </c>
      <c r="Z44" s="41">
        <f>IF(AD44=0,J44,0)</f>
        <v>0</v>
      </c>
      <c r="AA44" s="41">
        <f>IF(AD44=14,J44,0)</f>
        <v>0</v>
      </c>
      <c r="AB44" s="41">
        <f>IF(AD44=20,J44,0)</f>
        <v>0</v>
      </c>
      <c r="AD44" s="41">
        <v>20</v>
      </c>
      <c r="AE44" s="41">
        <f>G44*0.0109139838532842</f>
        <v>0</v>
      </c>
      <c r="AF44" s="41">
        <f>G44*(1-0.0109139838532842)</f>
        <v>0</v>
      </c>
    </row>
    <row r="45" spans="1:32" ht="12.75">
      <c r="A45" s="9" t="s">
        <v>125</v>
      </c>
      <c r="B45" s="9"/>
      <c r="C45" s="9" t="s">
        <v>126</v>
      </c>
      <c r="D45" s="9" t="s">
        <v>127</v>
      </c>
      <c r="E45" s="9" t="s">
        <v>90</v>
      </c>
      <c r="F45" s="41">
        <v>0.387</v>
      </c>
      <c r="H45" s="41">
        <f>ROUND(F45*AE45,2)</f>
        <v>0</v>
      </c>
      <c r="I45" s="41">
        <f>J45-H45</f>
        <v>0</v>
      </c>
      <c r="J45" s="41">
        <f>ROUND(F45*G45,2)</f>
        <v>0</v>
      </c>
      <c r="K45" s="41">
        <v>1.05294</v>
      </c>
      <c r="L45" s="41">
        <f>F45*K45</f>
        <v>0.40748778</v>
      </c>
      <c r="N45" s="42" t="s">
        <v>44</v>
      </c>
      <c r="O45" s="41">
        <f>IF(N45="5",I45,0)</f>
        <v>0</v>
      </c>
      <c r="Z45" s="41">
        <f>IF(AD45=0,J45,0)</f>
        <v>0</v>
      </c>
      <c r="AA45" s="41">
        <f>IF(AD45=14,J45,0)</f>
        <v>0</v>
      </c>
      <c r="AB45" s="41">
        <f>IF(AD45=20,J45,0)</f>
        <v>0</v>
      </c>
      <c r="AD45" s="41">
        <v>20</v>
      </c>
      <c r="AE45" s="41">
        <f>G45*0.817275192470349</f>
        <v>0</v>
      </c>
      <c r="AF45" s="41">
        <f>G45*(1-0.817275192470349)</f>
        <v>0</v>
      </c>
    </row>
    <row r="46" spans="1:37" ht="12.75">
      <c r="A46" s="29"/>
      <c r="B46" s="29"/>
      <c r="C46" s="30" t="s">
        <v>128</v>
      </c>
      <c r="D46" s="30" t="s">
        <v>129</v>
      </c>
      <c r="E46" s="30"/>
      <c r="F46" s="30"/>
      <c r="G46" s="30"/>
      <c r="H46" s="31">
        <f>SUM(H47:H47)</f>
        <v>0</v>
      </c>
      <c r="I46" s="31">
        <f>SUM(I47:I47)</f>
        <v>0</v>
      </c>
      <c r="J46" s="31">
        <f>H46+I46</f>
        <v>0</v>
      </c>
      <c r="K46" s="28"/>
      <c r="L46" s="31">
        <f>SUM(L47:L47)</f>
        <v>0.4002</v>
      </c>
      <c r="P46" s="31">
        <f>IF(Q46="PR",J46,SUM(O47:O47))</f>
        <v>0</v>
      </c>
      <c r="Q46" s="28" t="s">
        <v>53</v>
      </c>
      <c r="R46" s="31">
        <f>IF(Q46="HS",H46,0)</f>
        <v>0</v>
      </c>
      <c r="S46" s="31">
        <f>IF(Q46="HS",I46-P46,0)</f>
        <v>0</v>
      </c>
      <c r="T46" s="31">
        <f>IF(Q46="PS",H46,0)</f>
        <v>0</v>
      </c>
      <c r="U46" s="31">
        <f>IF(Q46="PS",I46-P46,0)</f>
        <v>0</v>
      </c>
      <c r="V46" s="31">
        <f>IF(Q46="MP",H46,0)</f>
        <v>0</v>
      </c>
      <c r="W46" s="31">
        <f>IF(Q46="MP",I46-P46,0)</f>
        <v>0</v>
      </c>
      <c r="X46" s="31">
        <f>IF(Q46="OM",H46,0)</f>
        <v>0</v>
      </c>
      <c r="Y46" s="28"/>
      <c r="AI46" s="31">
        <f>SUM(Z47:Z47)</f>
        <v>0</v>
      </c>
      <c r="AJ46" s="31">
        <f>SUM(AA47:AA47)</f>
        <v>0</v>
      </c>
      <c r="AK46" s="31">
        <f>SUM(AB47:AB47)</f>
        <v>0</v>
      </c>
    </row>
    <row r="47" spans="1:32" ht="12.75">
      <c r="A47" s="9" t="s">
        <v>130</v>
      </c>
      <c r="B47" s="9"/>
      <c r="C47" s="9" t="s">
        <v>131</v>
      </c>
      <c r="D47" s="9" t="s">
        <v>132</v>
      </c>
      <c r="E47" s="9" t="s">
        <v>99</v>
      </c>
      <c r="F47" s="41">
        <v>17.25</v>
      </c>
      <c r="H47" s="41">
        <f>ROUND(F47*AE47,2)</f>
        <v>0</v>
      </c>
      <c r="I47" s="41">
        <f>J47-H47</f>
        <v>0</v>
      </c>
      <c r="J47" s="41">
        <f>ROUND(F47*G47,2)</f>
        <v>0</v>
      </c>
      <c r="K47" s="41">
        <v>0.0232</v>
      </c>
      <c r="L47" s="41">
        <f>F47*K47</f>
        <v>0.4002</v>
      </c>
      <c r="N47" s="42" t="s">
        <v>44</v>
      </c>
      <c r="O47" s="41">
        <f>IF(N47="5",I47,0)</f>
        <v>0</v>
      </c>
      <c r="Z47" s="41">
        <f>IF(AD47=0,J47,0)</f>
        <v>0</v>
      </c>
      <c r="AA47" s="41">
        <f>IF(AD47=14,J47,0)</f>
        <v>0</v>
      </c>
      <c r="AB47" s="41">
        <f>IF(AD47=20,J47,0)</f>
        <v>0</v>
      </c>
      <c r="AD47" s="41">
        <v>20</v>
      </c>
      <c r="AE47" s="41">
        <f>G47*0.808672078026244</f>
        <v>0</v>
      </c>
      <c r="AF47" s="41">
        <f>G47*(1-0.808672078026244)</f>
        <v>0</v>
      </c>
    </row>
    <row r="48" spans="1:37" ht="12.75">
      <c r="A48" s="29"/>
      <c r="B48" s="29"/>
      <c r="C48" s="30" t="s">
        <v>133</v>
      </c>
      <c r="D48" s="30" t="s">
        <v>134</v>
      </c>
      <c r="E48" s="30"/>
      <c r="F48" s="30"/>
      <c r="G48" s="30"/>
      <c r="H48" s="31">
        <f>SUM(H49:H53)</f>
        <v>0</v>
      </c>
      <c r="I48" s="31">
        <f>SUM(I49:I53)</f>
        <v>0</v>
      </c>
      <c r="J48" s="31">
        <f>H48+I48</f>
        <v>0</v>
      </c>
      <c r="K48" s="28"/>
      <c r="L48" s="31">
        <f>SUM(L49:L53)</f>
        <v>24.126143390000003</v>
      </c>
      <c r="P48" s="31">
        <f>IF(Q48="PR",J48,SUM(O49:O53))</f>
        <v>0</v>
      </c>
      <c r="Q48" s="28" t="s">
        <v>53</v>
      </c>
      <c r="R48" s="31">
        <f>IF(Q48="HS",H48,0)</f>
        <v>0</v>
      </c>
      <c r="S48" s="31">
        <f>IF(Q48="HS",I48-P48,0)</f>
        <v>0</v>
      </c>
      <c r="T48" s="31">
        <f>IF(Q48="PS",H48,0)</f>
        <v>0</v>
      </c>
      <c r="U48" s="31">
        <f>IF(Q48="PS",I48-P48,0)</f>
        <v>0</v>
      </c>
      <c r="V48" s="31">
        <f>IF(Q48="MP",H48,0)</f>
        <v>0</v>
      </c>
      <c r="W48" s="31">
        <f>IF(Q48="MP",I48-P48,0)</f>
        <v>0</v>
      </c>
      <c r="X48" s="31">
        <f>IF(Q48="OM",H48,0)</f>
        <v>0</v>
      </c>
      <c r="Y48" s="28"/>
      <c r="AI48" s="31">
        <f>SUM(Z49:Z53)</f>
        <v>0</v>
      </c>
      <c r="AJ48" s="31">
        <f>SUM(AA49:AA53)</f>
        <v>0</v>
      </c>
      <c r="AK48" s="31">
        <f>SUM(AB49:AB53)</f>
        <v>0</v>
      </c>
    </row>
    <row r="49" spans="1:32" ht="12.75">
      <c r="A49" s="9" t="s">
        <v>94</v>
      </c>
      <c r="B49" s="9"/>
      <c r="C49" s="9" t="s">
        <v>135</v>
      </c>
      <c r="D49" s="9" t="s">
        <v>136</v>
      </c>
      <c r="E49" s="9" t="s">
        <v>68</v>
      </c>
      <c r="F49" s="41">
        <v>8.976</v>
      </c>
      <c r="H49" s="41">
        <f>ROUND(F49*AE49,2)</f>
        <v>0</v>
      </c>
      <c r="I49" s="41">
        <f>J49-H49</f>
        <v>0</v>
      </c>
      <c r="J49" s="41">
        <f>ROUND(F49*G49,2)</f>
        <v>0</v>
      </c>
      <c r="K49" s="41">
        <v>2.52515</v>
      </c>
      <c r="L49" s="41">
        <f>F49*K49</f>
        <v>22.665746400000003</v>
      </c>
      <c r="N49" s="42" t="s">
        <v>44</v>
      </c>
      <c r="O49" s="41">
        <f>IF(N49="5",I49,0)</f>
        <v>0</v>
      </c>
      <c r="Z49" s="41">
        <f>IF(AD49=0,J49,0)</f>
        <v>0</v>
      </c>
      <c r="AA49" s="41">
        <f>IF(AD49=14,J49,0)</f>
        <v>0</v>
      </c>
      <c r="AB49" s="41">
        <f>IF(AD49=20,J49,0)</f>
        <v>0</v>
      </c>
      <c r="AD49" s="41">
        <v>20</v>
      </c>
      <c r="AE49" s="41">
        <f>G49*0.897165201077849</f>
        <v>0</v>
      </c>
      <c r="AF49" s="41">
        <f>G49*(1-0.897165201077849)</f>
        <v>0</v>
      </c>
    </row>
    <row r="50" spans="1:32" ht="12.75">
      <c r="A50" s="9" t="s">
        <v>137</v>
      </c>
      <c r="B50" s="9"/>
      <c r="C50" s="9" t="s">
        <v>138</v>
      </c>
      <c r="D50" s="9" t="s">
        <v>139</v>
      </c>
      <c r="E50" s="9" t="s">
        <v>90</v>
      </c>
      <c r="F50" s="41">
        <v>1.161</v>
      </c>
      <c r="H50" s="41">
        <f>ROUND(F50*AE50,2)</f>
        <v>0</v>
      </c>
      <c r="I50" s="41">
        <f>J50-H50</f>
        <v>0</v>
      </c>
      <c r="J50" s="41">
        <f>ROUND(F50*G50,2)</f>
        <v>0</v>
      </c>
      <c r="K50" s="41">
        <v>1.03739</v>
      </c>
      <c r="L50" s="41">
        <f>F50*K50</f>
        <v>1.2044097900000001</v>
      </c>
      <c r="N50" s="42" t="s">
        <v>44</v>
      </c>
      <c r="O50" s="41">
        <f>IF(N50="5",I50,0)</f>
        <v>0</v>
      </c>
      <c r="Z50" s="41">
        <f>IF(AD50=0,J50,0)</f>
        <v>0</v>
      </c>
      <c r="AA50" s="41">
        <f>IF(AD50=14,J50,0)</f>
        <v>0</v>
      </c>
      <c r="AB50" s="41">
        <f>IF(AD50=20,J50,0)</f>
        <v>0</v>
      </c>
      <c r="AD50" s="41">
        <v>20</v>
      </c>
      <c r="AE50" s="41">
        <f>G50*0.542682422827165</f>
        <v>0</v>
      </c>
      <c r="AF50" s="41">
        <f>G50*(1-0.542682422827165)</f>
        <v>0</v>
      </c>
    </row>
    <row r="51" spans="1:32" ht="12.75">
      <c r="A51" s="9" t="s">
        <v>140</v>
      </c>
      <c r="B51" s="9"/>
      <c r="C51" s="9" t="s">
        <v>141</v>
      </c>
      <c r="D51" s="9" t="s">
        <v>142</v>
      </c>
      <c r="E51" s="9" t="s">
        <v>56</v>
      </c>
      <c r="F51" s="41">
        <v>16.695</v>
      </c>
      <c r="H51" s="41">
        <f>ROUND(F51*AE51,2)</f>
        <v>0</v>
      </c>
      <c r="I51" s="41">
        <f>J51-H51</f>
        <v>0</v>
      </c>
      <c r="J51" s="41">
        <f>ROUND(F51*G51,2)</f>
        <v>0</v>
      </c>
      <c r="K51" s="41">
        <v>0.01128</v>
      </c>
      <c r="L51" s="41">
        <f>F51*K51</f>
        <v>0.1883196</v>
      </c>
      <c r="N51" s="42" t="s">
        <v>44</v>
      </c>
      <c r="O51" s="41">
        <f>IF(N51="5",I51,0)</f>
        <v>0</v>
      </c>
      <c r="Z51" s="41">
        <f>IF(AD51=0,J51,0)</f>
        <v>0</v>
      </c>
      <c r="AA51" s="41">
        <f>IF(AD51=14,J51,0)</f>
        <v>0</v>
      </c>
      <c r="AB51" s="41">
        <f>IF(AD51=20,J51,0)</f>
        <v>0</v>
      </c>
      <c r="AD51" s="41">
        <v>20</v>
      </c>
      <c r="AE51" s="41">
        <f>G51*0.481696396590014</f>
        <v>0</v>
      </c>
      <c r="AF51" s="41">
        <f>G51*(1-0.481696396590014)</f>
        <v>0</v>
      </c>
    </row>
    <row r="52" spans="1:32" ht="12.75">
      <c r="A52" s="9" t="s">
        <v>143</v>
      </c>
      <c r="B52" s="9"/>
      <c r="C52" s="9" t="s">
        <v>144</v>
      </c>
      <c r="D52" s="9" t="s">
        <v>145</v>
      </c>
      <c r="E52" s="9" t="s">
        <v>56</v>
      </c>
      <c r="F52" s="41">
        <v>5.72</v>
      </c>
      <c r="H52" s="41">
        <f>ROUND(F52*AE52,2)</f>
        <v>0</v>
      </c>
      <c r="I52" s="41">
        <f>J52-H52</f>
        <v>0</v>
      </c>
      <c r="J52" s="41">
        <f>ROUND(F52*G52,2)</f>
        <v>0</v>
      </c>
      <c r="K52" s="41">
        <v>0.01183</v>
      </c>
      <c r="L52" s="41">
        <f>F52*K52</f>
        <v>0.0676676</v>
      </c>
      <c r="N52" s="42" t="s">
        <v>44</v>
      </c>
      <c r="O52" s="41">
        <f>IF(N52="5",I52,0)</f>
        <v>0</v>
      </c>
      <c r="Z52" s="41">
        <f>IF(AD52=0,J52,0)</f>
        <v>0</v>
      </c>
      <c r="AA52" s="41">
        <f>IF(AD52=14,J52,0)</f>
        <v>0</v>
      </c>
      <c r="AB52" s="41">
        <f>IF(AD52=20,J52,0)</f>
        <v>0</v>
      </c>
      <c r="AD52" s="41">
        <v>20</v>
      </c>
      <c r="AE52" s="41">
        <f>G52*0.200348645769442</f>
        <v>0</v>
      </c>
      <c r="AF52" s="41">
        <f>G52*(1-0.200348645769442)</f>
        <v>0</v>
      </c>
    </row>
    <row r="53" spans="1:32" ht="12.75">
      <c r="A53" s="9" t="s">
        <v>146</v>
      </c>
      <c r="B53" s="9"/>
      <c r="C53" s="9" t="s">
        <v>147</v>
      </c>
      <c r="D53" s="9" t="s">
        <v>148</v>
      </c>
      <c r="E53" s="9" t="s">
        <v>56</v>
      </c>
      <c r="F53" s="41">
        <v>5.72</v>
      </c>
      <c r="H53" s="41">
        <f>ROUND(F53*AE53,2)</f>
        <v>0</v>
      </c>
      <c r="I53" s="41">
        <f>J53-H53</f>
        <v>0</v>
      </c>
      <c r="J53" s="41">
        <f>ROUND(F53*G53,2)</f>
        <v>0</v>
      </c>
      <c r="K53" s="41">
        <v>0</v>
      </c>
      <c r="L53" s="41">
        <f>F53*K53</f>
        <v>0</v>
      </c>
      <c r="N53" s="42" t="s">
        <v>44</v>
      </c>
      <c r="O53" s="41">
        <f>IF(N53="5",I53,0)</f>
        <v>0</v>
      </c>
      <c r="Z53" s="41">
        <f>IF(AD53=0,J53,0)</f>
        <v>0</v>
      </c>
      <c r="AA53" s="41">
        <f>IF(AD53=14,J53,0)</f>
        <v>0</v>
      </c>
      <c r="AB53" s="41">
        <f>IF(AD53=20,J53,0)</f>
        <v>0</v>
      </c>
      <c r="AD53" s="41">
        <v>20</v>
      </c>
      <c r="AE53" s="41">
        <f>G53*0</f>
        <v>0</v>
      </c>
      <c r="AF53" s="41">
        <f>G53*(1-0)</f>
        <v>0</v>
      </c>
    </row>
    <row r="54" spans="1:37" ht="12.75">
      <c r="A54" s="29"/>
      <c r="B54" s="29"/>
      <c r="C54" s="30" t="s">
        <v>149</v>
      </c>
      <c r="D54" s="30" t="s">
        <v>150</v>
      </c>
      <c r="E54" s="30"/>
      <c r="F54" s="30"/>
      <c r="G54" s="30"/>
      <c r="H54" s="31">
        <f>SUM(H55:H56)</f>
        <v>0</v>
      </c>
      <c r="I54" s="31">
        <f>SUM(I55:I56)</f>
        <v>0</v>
      </c>
      <c r="J54" s="31">
        <f>H54+I54</f>
        <v>0</v>
      </c>
      <c r="K54" s="28"/>
      <c r="L54" s="31">
        <f>SUM(L55:L56)</f>
        <v>49.20538175</v>
      </c>
      <c r="P54" s="31">
        <f>IF(Q54="PR",J54,SUM(O55:O56))</f>
        <v>0</v>
      </c>
      <c r="Q54" s="28" t="s">
        <v>53</v>
      </c>
      <c r="R54" s="31">
        <f>IF(Q54="HS",H54,0)</f>
        <v>0</v>
      </c>
      <c r="S54" s="31">
        <f>IF(Q54="HS",I54-P54,0)</f>
        <v>0</v>
      </c>
      <c r="T54" s="31">
        <f>IF(Q54="PS",H54,0)</f>
        <v>0</v>
      </c>
      <c r="U54" s="31">
        <f>IF(Q54="PS",I54-P54,0)</f>
        <v>0</v>
      </c>
      <c r="V54" s="31">
        <f>IF(Q54="MP",H54,0)</f>
        <v>0</v>
      </c>
      <c r="W54" s="31">
        <f>IF(Q54="MP",I54-P54,0)</f>
        <v>0</v>
      </c>
      <c r="X54" s="31">
        <f>IF(Q54="OM",H54,0)</f>
        <v>0</v>
      </c>
      <c r="Y54" s="28"/>
      <c r="AI54" s="31">
        <f>SUM(Z55:Z56)</f>
        <v>0</v>
      </c>
      <c r="AJ54" s="31">
        <f>SUM(AA55:AA56)</f>
        <v>0</v>
      </c>
      <c r="AK54" s="31">
        <f>SUM(AB55:AB56)</f>
        <v>0</v>
      </c>
    </row>
    <row r="55" spans="1:32" ht="12.75">
      <c r="A55" s="9" t="s">
        <v>151</v>
      </c>
      <c r="B55" s="9"/>
      <c r="C55" s="9" t="s">
        <v>152</v>
      </c>
      <c r="D55" s="9" t="s">
        <v>153</v>
      </c>
      <c r="E55" s="9" t="s">
        <v>68</v>
      </c>
      <c r="F55" s="41">
        <v>2.945</v>
      </c>
      <c r="H55" s="41">
        <f>ROUND(F55*AE55,2)</f>
        <v>0</v>
      </c>
      <c r="I55" s="41">
        <f>J55-H55</f>
        <v>0</v>
      </c>
      <c r="J55" s="41">
        <f>ROUND(F55*G55,2)</f>
        <v>0</v>
      </c>
      <c r="K55" s="41">
        <v>2.54215</v>
      </c>
      <c r="L55" s="41">
        <f>F55*K55</f>
        <v>7.486631749999999</v>
      </c>
      <c r="N55" s="42" t="s">
        <v>44</v>
      </c>
      <c r="O55" s="41">
        <f>IF(N55="5",I55,0)</f>
        <v>0</v>
      </c>
      <c r="Z55" s="41">
        <f>IF(AD55=0,J55,0)</f>
        <v>0</v>
      </c>
      <c r="AA55" s="41">
        <f>IF(AD55=14,J55,0)</f>
        <v>0</v>
      </c>
      <c r="AB55" s="41">
        <f>IF(AD55=20,J55,0)</f>
        <v>0</v>
      </c>
      <c r="AD55" s="41">
        <v>20</v>
      </c>
      <c r="AE55" s="41">
        <f>G55*0.617327191610174</f>
        <v>0</v>
      </c>
      <c r="AF55" s="41">
        <f>G55*(1-0.617327191610174)</f>
        <v>0</v>
      </c>
    </row>
    <row r="56" spans="1:32" ht="12.75">
      <c r="A56" s="9" t="s">
        <v>154</v>
      </c>
      <c r="B56" s="9"/>
      <c r="C56" s="9" t="s">
        <v>155</v>
      </c>
      <c r="D56" s="9" t="s">
        <v>156</v>
      </c>
      <c r="E56" s="9" t="s">
        <v>68</v>
      </c>
      <c r="F56" s="41">
        <v>25</v>
      </c>
      <c r="H56" s="41">
        <f>ROUND(F56*AE56,2)</f>
        <v>0</v>
      </c>
      <c r="I56" s="41">
        <f>J56-H56</f>
        <v>0</v>
      </c>
      <c r="J56" s="41">
        <f>ROUND(F56*G56,2)</f>
        <v>0</v>
      </c>
      <c r="K56" s="41">
        <v>1.66875</v>
      </c>
      <c r="L56" s="41">
        <f>F56*K56</f>
        <v>41.71875</v>
      </c>
      <c r="N56" s="42" t="s">
        <v>44</v>
      </c>
      <c r="O56" s="41">
        <f>IF(N56="5",I56,0)</f>
        <v>0</v>
      </c>
      <c r="Z56" s="41">
        <f>IF(AD56=0,J56,0)</f>
        <v>0</v>
      </c>
      <c r="AA56" s="41">
        <f>IF(AD56=14,J56,0)</f>
        <v>0</v>
      </c>
      <c r="AB56" s="41">
        <f>IF(AD56=20,J56,0)</f>
        <v>0</v>
      </c>
      <c r="AD56" s="41">
        <v>20</v>
      </c>
      <c r="AE56" s="41">
        <f>G56*0.566535727424848</f>
        <v>0</v>
      </c>
      <c r="AF56" s="41">
        <f>G56*(1-0.566535727424848)</f>
        <v>0</v>
      </c>
    </row>
    <row r="57" spans="1:37" ht="12.75">
      <c r="A57" s="29"/>
      <c r="B57" s="29"/>
      <c r="C57" s="30" t="s">
        <v>157</v>
      </c>
      <c r="D57" s="30" t="s">
        <v>158</v>
      </c>
      <c r="E57" s="30"/>
      <c r="F57" s="30"/>
      <c r="G57" s="30"/>
      <c r="H57" s="31">
        <f>SUM(H58:H60)</f>
        <v>0</v>
      </c>
      <c r="I57" s="31">
        <f>SUM(I58:I60)</f>
        <v>0</v>
      </c>
      <c r="J57" s="31">
        <f>H57+I57</f>
        <v>0</v>
      </c>
      <c r="K57" s="28"/>
      <c r="L57" s="31">
        <f>SUM(L58:L60)</f>
        <v>10.479368500000001</v>
      </c>
      <c r="P57" s="31">
        <f>IF(Q57="PR",J57,SUM(O58:O60))</f>
        <v>0</v>
      </c>
      <c r="Q57" s="28" t="s">
        <v>53</v>
      </c>
      <c r="R57" s="31">
        <f>IF(Q57="HS",H57,0)</f>
        <v>0</v>
      </c>
      <c r="S57" s="31">
        <f>IF(Q57="HS",I57-P57,0)</f>
        <v>0</v>
      </c>
      <c r="T57" s="31">
        <f>IF(Q57="PS",H57,0)</f>
        <v>0</v>
      </c>
      <c r="U57" s="31">
        <f>IF(Q57="PS",I57-P57,0)</f>
        <v>0</v>
      </c>
      <c r="V57" s="31">
        <f>IF(Q57="MP",H57,0)</f>
        <v>0</v>
      </c>
      <c r="W57" s="31">
        <f>IF(Q57="MP",I57-P57,0)</f>
        <v>0</v>
      </c>
      <c r="X57" s="31">
        <f>IF(Q57="OM",H57,0)</f>
        <v>0</v>
      </c>
      <c r="Y57" s="28"/>
      <c r="AI57" s="31">
        <f>SUM(Z58:Z60)</f>
        <v>0</v>
      </c>
      <c r="AJ57" s="31">
        <f>SUM(AA58:AA60)</f>
        <v>0</v>
      </c>
      <c r="AK57" s="31">
        <f>SUM(AB58:AB60)</f>
        <v>0</v>
      </c>
    </row>
    <row r="58" spans="1:32" ht="12.75">
      <c r="A58" s="9" t="s">
        <v>159</v>
      </c>
      <c r="B58" s="9"/>
      <c r="C58" s="9" t="s">
        <v>160</v>
      </c>
      <c r="D58" s="9" t="s">
        <v>161</v>
      </c>
      <c r="E58" s="9" t="s">
        <v>56</v>
      </c>
      <c r="F58" s="41">
        <v>89.7</v>
      </c>
      <c r="H58" s="41">
        <f>ROUND(F58*AE58,2)</f>
        <v>0</v>
      </c>
      <c r="I58" s="41">
        <f>J58-H58</f>
        <v>0</v>
      </c>
      <c r="J58" s="41">
        <f>ROUND(F58*G58,2)</f>
        <v>0</v>
      </c>
      <c r="K58" s="41">
        <v>0.00071</v>
      </c>
      <c r="L58" s="41">
        <f>F58*K58</f>
        <v>0.06368700000000001</v>
      </c>
      <c r="N58" s="42" t="s">
        <v>44</v>
      </c>
      <c r="O58" s="41">
        <f>IF(N58="5",I58,0)</f>
        <v>0</v>
      </c>
      <c r="Z58" s="41">
        <f>IF(AD58=0,J58,0)</f>
        <v>0</v>
      </c>
      <c r="AA58" s="41">
        <f>IF(AD58=14,J58,0)</f>
        <v>0</v>
      </c>
      <c r="AB58" s="41">
        <f>IF(AD58=20,J58,0)</f>
        <v>0</v>
      </c>
      <c r="AD58" s="41">
        <v>20</v>
      </c>
      <c r="AE58" s="41">
        <f>G58*0.902013422818792</f>
        <v>0</v>
      </c>
      <c r="AF58" s="41">
        <f>G58*(1-0.902013422818792)</f>
        <v>0</v>
      </c>
    </row>
    <row r="59" spans="1:32" ht="12.75">
      <c r="A59" s="9" t="s">
        <v>162</v>
      </c>
      <c r="B59" s="9"/>
      <c r="C59" s="9" t="s">
        <v>163</v>
      </c>
      <c r="D59" s="9" t="s">
        <v>164</v>
      </c>
      <c r="E59" s="9" t="s">
        <v>56</v>
      </c>
      <c r="F59" s="41">
        <v>46.85</v>
      </c>
      <c r="H59" s="41">
        <f>ROUND(F59*AE59,2)</f>
        <v>0</v>
      </c>
      <c r="I59" s="41">
        <f>J59-H59</f>
        <v>0</v>
      </c>
      <c r="J59" s="41">
        <f>ROUND(F59*G59,2)</f>
        <v>0</v>
      </c>
      <c r="K59" s="41">
        <v>0.10373</v>
      </c>
      <c r="L59" s="41">
        <f>F59*K59</f>
        <v>4.8597505000000005</v>
      </c>
      <c r="N59" s="42" t="s">
        <v>44</v>
      </c>
      <c r="O59" s="41">
        <f>IF(N59="5",I59,0)</f>
        <v>0</v>
      </c>
      <c r="Z59" s="41">
        <f>IF(AD59=0,J59,0)</f>
        <v>0</v>
      </c>
      <c r="AA59" s="41">
        <f>IF(AD59=14,J59,0)</f>
        <v>0</v>
      </c>
      <c r="AB59" s="41">
        <f>IF(AD59=20,J59,0)</f>
        <v>0</v>
      </c>
      <c r="AD59" s="41">
        <v>20</v>
      </c>
      <c r="AE59" s="41">
        <f>G59*0.871248610596517</f>
        <v>0</v>
      </c>
      <c r="AF59" s="41">
        <f>G59*(1-0.871248610596517)</f>
        <v>0</v>
      </c>
    </row>
    <row r="60" spans="1:32" ht="12.75">
      <c r="A60" s="9" t="s">
        <v>165</v>
      </c>
      <c r="B60" s="9"/>
      <c r="C60" s="9" t="s">
        <v>166</v>
      </c>
      <c r="D60" s="9" t="s">
        <v>167</v>
      </c>
      <c r="E60" s="9" t="s">
        <v>56</v>
      </c>
      <c r="F60" s="41">
        <v>42.85</v>
      </c>
      <c r="H60" s="41">
        <f>ROUND(F60*AE60,2)</f>
        <v>0</v>
      </c>
      <c r="I60" s="41">
        <f>J60-H60</f>
        <v>0</v>
      </c>
      <c r="J60" s="41">
        <f>ROUND(F60*G60,2)</f>
        <v>0</v>
      </c>
      <c r="K60" s="41">
        <v>0.12966</v>
      </c>
      <c r="L60" s="41">
        <f>F60*K60</f>
        <v>5.555931</v>
      </c>
      <c r="N60" s="42" t="s">
        <v>44</v>
      </c>
      <c r="O60" s="41">
        <f>IF(N60="5",I60,0)</f>
        <v>0</v>
      </c>
      <c r="Z60" s="41">
        <f>IF(AD60=0,J60,0)</f>
        <v>0</v>
      </c>
      <c r="AA60" s="41">
        <f>IF(AD60=14,J60,0)</f>
        <v>0</v>
      </c>
      <c r="AB60" s="41">
        <f>IF(AD60=20,J60,0)</f>
        <v>0</v>
      </c>
      <c r="AD60" s="41">
        <v>20</v>
      </c>
      <c r="AE60" s="41">
        <f>G60*0.778590949094446</f>
        <v>0</v>
      </c>
      <c r="AF60" s="41">
        <f>G60*(1-0.778590949094446)</f>
        <v>0</v>
      </c>
    </row>
    <row r="61" spans="1:37" ht="12.75">
      <c r="A61" s="29"/>
      <c r="B61" s="29"/>
      <c r="C61" s="30" t="s">
        <v>168</v>
      </c>
      <c r="D61" s="30" t="s">
        <v>169</v>
      </c>
      <c r="E61" s="30"/>
      <c r="F61" s="30"/>
      <c r="G61" s="30"/>
      <c r="H61" s="31">
        <f>SUM(H62:H63)</f>
        <v>0</v>
      </c>
      <c r="I61" s="31">
        <f>SUM(I62:I63)</f>
        <v>0</v>
      </c>
      <c r="J61" s="31">
        <f>H61+I61</f>
        <v>0</v>
      </c>
      <c r="K61" s="28"/>
      <c r="L61" s="31">
        <f>SUM(L62:L63)</f>
        <v>6.898373749999999</v>
      </c>
      <c r="P61" s="31">
        <f>IF(Q61="PR",J61,SUM(O62:O63))</f>
        <v>0</v>
      </c>
      <c r="Q61" s="28" t="s">
        <v>53</v>
      </c>
      <c r="R61" s="31">
        <f>IF(Q61="HS",H61,0)</f>
        <v>0</v>
      </c>
      <c r="S61" s="31">
        <f>IF(Q61="HS",I61-P61,0)</f>
        <v>0</v>
      </c>
      <c r="T61" s="31">
        <f>IF(Q61="PS",H61,0)</f>
        <v>0</v>
      </c>
      <c r="U61" s="31">
        <f>IF(Q61="PS",I61-P61,0)</f>
        <v>0</v>
      </c>
      <c r="V61" s="31">
        <f>IF(Q61="MP",H61,0)</f>
        <v>0</v>
      </c>
      <c r="W61" s="31">
        <f>IF(Q61="MP",I61-P61,0)</f>
        <v>0</v>
      </c>
      <c r="X61" s="31">
        <f>IF(Q61="OM",H61,0)</f>
        <v>0</v>
      </c>
      <c r="Y61" s="28"/>
      <c r="AI61" s="31">
        <f>SUM(Z62:Z63)</f>
        <v>0</v>
      </c>
      <c r="AJ61" s="31">
        <f>SUM(AA62:AA63)</f>
        <v>0</v>
      </c>
      <c r="AK61" s="31">
        <f>SUM(AB62:AB63)</f>
        <v>0</v>
      </c>
    </row>
    <row r="62" spans="1:32" ht="12.75">
      <c r="A62" s="9" t="s">
        <v>100</v>
      </c>
      <c r="B62" s="9"/>
      <c r="C62" s="9" t="s">
        <v>170</v>
      </c>
      <c r="D62" s="9" t="s">
        <v>171</v>
      </c>
      <c r="E62" s="9" t="s">
        <v>68</v>
      </c>
      <c r="F62" s="41">
        <v>3.01</v>
      </c>
      <c r="H62" s="41">
        <f>ROUND(F62*AE62,2)</f>
        <v>0</v>
      </c>
      <c r="I62" s="41">
        <f>J62-H62</f>
        <v>0</v>
      </c>
      <c r="J62" s="41">
        <f>ROUND(F62*G62,2)</f>
        <v>0</v>
      </c>
      <c r="K62" s="41">
        <v>2.261</v>
      </c>
      <c r="L62" s="41">
        <f>F62*K62</f>
        <v>6.80561</v>
      </c>
      <c r="N62" s="42" t="s">
        <v>44</v>
      </c>
      <c r="O62" s="41">
        <f>IF(N62="5",I62,0)</f>
        <v>0</v>
      </c>
      <c r="Z62" s="41">
        <f>IF(AD62=0,J62,0)</f>
        <v>0</v>
      </c>
      <c r="AA62" s="41">
        <f>IF(AD62=14,J62,0)</f>
        <v>0</v>
      </c>
      <c r="AB62" s="41">
        <f>IF(AD62=20,J62,0)</f>
        <v>0</v>
      </c>
      <c r="AD62" s="41">
        <v>20</v>
      </c>
      <c r="AE62" s="41">
        <f>G62*0.614372996231509</f>
        <v>0</v>
      </c>
      <c r="AF62" s="41">
        <f>G62*(1-0.614372996231509)</f>
        <v>0</v>
      </c>
    </row>
    <row r="63" spans="1:32" ht="12.75">
      <c r="A63" s="9" t="s">
        <v>111</v>
      </c>
      <c r="B63" s="9"/>
      <c r="C63" s="9" t="s">
        <v>172</v>
      </c>
      <c r="D63" s="9" t="s">
        <v>173</v>
      </c>
      <c r="E63" s="9" t="s">
        <v>90</v>
      </c>
      <c r="F63" s="41">
        <v>0.087</v>
      </c>
      <c r="H63" s="41">
        <f>ROUND(F63*AE63,2)</f>
        <v>0</v>
      </c>
      <c r="I63" s="41">
        <f>J63-H63</f>
        <v>0</v>
      </c>
      <c r="J63" s="41">
        <f>ROUND(F63*G63,2)</f>
        <v>0</v>
      </c>
      <c r="K63" s="41">
        <v>1.06625</v>
      </c>
      <c r="L63" s="41">
        <f>F63*K63</f>
        <v>0.09276374999999999</v>
      </c>
      <c r="N63" s="42" t="s">
        <v>44</v>
      </c>
      <c r="O63" s="41">
        <f>IF(N63="5",I63,0)</f>
        <v>0</v>
      </c>
      <c r="Z63" s="41">
        <f>IF(AD63=0,J63,0)</f>
        <v>0</v>
      </c>
      <c r="AA63" s="41">
        <f>IF(AD63=14,J63,0)</f>
        <v>0</v>
      </c>
      <c r="AB63" s="41">
        <f>IF(AD63=20,J63,0)</f>
        <v>0</v>
      </c>
      <c r="AD63" s="41">
        <v>20</v>
      </c>
      <c r="AE63" s="41">
        <f>G63*0.860563866524682</f>
        <v>0</v>
      </c>
      <c r="AF63" s="41">
        <f>G63*(1-0.860563866524682)</f>
        <v>0</v>
      </c>
    </row>
    <row r="64" spans="1:37" ht="12.75">
      <c r="A64" s="29"/>
      <c r="B64" s="29"/>
      <c r="C64" s="30" t="s">
        <v>174</v>
      </c>
      <c r="D64" s="30" t="s">
        <v>175</v>
      </c>
      <c r="E64" s="30"/>
      <c r="F64" s="30"/>
      <c r="G64" s="30"/>
      <c r="H64" s="31">
        <f>SUM(H65:H67)</f>
        <v>0</v>
      </c>
      <c r="I64" s="31">
        <f>SUM(I65:I67)</f>
        <v>0</v>
      </c>
      <c r="J64" s="31">
        <f>H64+I64</f>
        <v>0</v>
      </c>
      <c r="K64" s="28"/>
      <c r="L64" s="31">
        <f>SUM(L65:L67)</f>
        <v>0.0206244</v>
      </c>
      <c r="P64" s="31">
        <f>IF(Q64="PR",J64,SUM(O65:O67))</f>
        <v>0</v>
      </c>
      <c r="Q64" s="28" t="s">
        <v>176</v>
      </c>
      <c r="R64" s="31">
        <f>IF(Q64="HS",H64,0)</f>
        <v>0</v>
      </c>
      <c r="S64" s="31">
        <f>IF(Q64="HS",I64-P64,0)</f>
        <v>0</v>
      </c>
      <c r="T64" s="31">
        <f>IF(Q64="PS",H64,0)</f>
        <v>0</v>
      </c>
      <c r="U64" s="31">
        <f>IF(Q64="PS",I64-P64,0)</f>
        <v>0</v>
      </c>
      <c r="V64" s="31">
        <f>IF(Q64="MP",H64,0)</f>
        <v>0</v>
      </c>
      <c r="W64" s="31">
        <f>IF(Q64="MP",I64-P64,0)</f>
        <v>0</v>
      </c>
      <c r="X64" s="31">
        <f>IF(Q64="OM",H64,0)</f>
        <v>0</v>
      </c>
      <c r="Y64" s="28"/>
      <c r="AI64" s="31">
        <f>SUM(Z65:Z67)</f>
        <v>0</v>
      </c>
      <c r="AJ64" s="31">
        <f>SUM(AA65:AA67)</f>
        <v>0</v>
      </c>
      <c r="AK64" s="31">
        <f>SUM(AB65:AB67)</f>
        <v>0</v>
      </c>
    </row>
    <row r="65" spans="1:32" ht="12.75">
      <c r="A65" s="9" t="s">
        <v>116</v>
      </c>
      <c r="B65" s="9"/>
      <c r="C65" s="9" t="s">
        <v>177</v>
      </c>
      <c r="D65" s="9" t="s">
        <v>178</v>
      </c>
      <c r="E65" s="9" t="s">
        <v>56</v>
      </c>
      <c r="F65" s="41">
        <v>52.02</v>
      </c>
      <c r="H65" s="41">
        <f>ROUND(F65*AE65,2)</f>
        <v>0</v>
      </c>
      <c r="I65" s="41">
        <f>J65-H65</f>
        <v>0</v>
      </c>
      <c r="J65" s="41">
        <f>ROUND(F65*G65,2)</f>
        <v>0</v>
      </c>
      <c r="K65" s="41">
        <v>0.00017</v>
      </c>
      <c r="L65" s="41">
        <f>F65*K65</f>
        <v>0.008843400000000001</v>
      </c>
      <c r="N65" s="42" t="s">
        <v>44</v>
      </c>
      <c r="O65" s="41">
        <f>IF(N65="5",I65,0)</f>
        <v>0</v>
      </c>
      <c r="Z65" s="41">
        <f>IF(AD65=0,J65,0)</f>
        <v>0</v>
      </c>
      <c r="AA65" s="41">
        <f>IF(AD65=14,J65,0)</f>
        <v>0</v>
      </c>
      <c r="AB65" s="41">
        <f>IF(AD65=20,J65,0)</f>
        <v>0</v>
      </c>
      <c r="AD65" s="41">
        <v>20</v>
      </c>
      <c r="AE65" s="41">
        <f>G65*0.170313986679353</f>
        <v>0</v>
      </c>
      <c r="AF65" s="41">
        <f>G65*(1-0.170313986679353)</f>
        <v>0</v>
      </c>
    </row>
    <row r="66" spans="1:32" ht="12.75">
      <c r="A66" s="9" t="s">
        <v>128</v>
      </c>
      <c r="B66" s="9"/>
      <c r="C66" s="9" t="s">
        <v>179</v>
      </c>
      <c r="D66" s="9" t="s">
        <v>180</v>
      </c>
      <c r="E66" s="9" t="s">
        <v>56</v>
      </c>
      <c r="F66" s="41">
        <v>35.7</v>
      </c>
      <c r="H66" s="41">
        <f>ROUND(F66*AE66,2)</f>
        <v>0</v>
      </c>
      <c r="I66" s="41">
        <f>J66-H66</f>
        <v>0</v>
      </c>
      <c r="J66" s="41">
        <f>ROUND(F66*G66,2)</f>
        <v>0</v>
      </c>
      <c r="K66" s="41">
        <v>0</v>
      </c>
      <c r="L66" s="41">
        <f>F66*K66</f>
        <v>0</v>
      </c>
      <c r="N66" s="42" t="s">
        <v>44</v>
      </c>
      <c r="O66" s="41">
        <f>IF(N66="5",I66,0)</f>
        <v>0</v>
      </c>
      <c r="Z66" s="41">
        <f>IF(AD66=0,J66,0)</f>
        <v>0</v>
      </c>
      <c r="AA66" s="41">
        <f>IF(AD66=14,J66,0)</f>
        <v>0</v>
      </c>
      <c r="AB66" s="41">
        <f>IF(AD66=20,J66,0)</f>
        <v>0</v>
      </c>
      <c r="AD66" s="41">
        <v>20</v>
      </c>
      <c r="AE66" s="41">
        <f>G66*0</f>
        <v>0</v>
      </c>
      <c r="AF66" s="41">
        <f>G66*(1-0)</f>
        <v>0</v>
      </c>
    </row>
    <row r="67" spans="1:32" ht="12.75">
      <c r="A67" s="9" t="s">
        <v>181</v>
      </c>
      <c r="B67" s="9"/>
      <c r="C67" s="9" t="s">
        <v>182</v>
      </c>
      <c r="D67" s="9" t="s">
        <v>183</v>
      </c>
      <c r="E67" s="9" t="s">
        <v>56</v>
      </c>
      <c r="F67" s="41">
        <v>35.7</v>
      </c>
      <c r="H67" s="41">
        <f>ROUND(F67*AE67,2)</f>
        <v>0</v>
      </c>
      <c r="I67" s="41">
        <f>J67-H67</f>
        <v>0</v>
      </c>
      <c r="J67" s="41">
        <f>ROUND(F67*G67,2)</f>
        <v>0</v>
      </c>
      <c r="K67" s="41">
        <v>0.00033</v>
      </c>
      <c r="L67" s="41">
        <f>F67*K67</f>
        <v>0.011781000000000002</v>
      </c>
      <c r="N67" s="42" t="s">
        <v>44</v>
      </c>
      <c r="O67" s="41">
        <f>IF(N67="5",I67,0)</f>
        <v>0</v>
      </c>
      <c r="Z67" s="41">
        <f>IF(AD67=0,J67,0)</f>
        <v>0</v>
      </c>
      <c r="AA67" s="41">
        <f>IF(AD67=14,J67,0)</f>
        <v>0</v>
      </c>
      <c r="AB67" s="41">
        <f>IF(AD67=20,J67,0)</f>
        <v>0</v>
      </c>
      <c r="AD67" s="41">
        <v>20</v>
      </c>
      <c r="AE67" s="41">
        <f>G67*0.0688534736190624</f>
        <v>0</v>
      </c>
      <c r="AF67" s="41">
        <f>G67*(1-0.0688534736190624)</f>
        <v>0</v>
      </c>
    </row>
    <row r="68" spans="1:37" ht="12.75">
      <c r="A68" s="29"/>
      <c r="B68" s="29"/>
      <c r="C68" s="30" t="s">
        <v>184</v>
      </c>
      <c r="D68" s="30" t="s">
        <v>185</v>
      </c>
      <c r="E68" s="30"/>
      <c r="F68" s="30"/>
      <c r="G68" s="30"/>
      <c r="H68" s="31">
        <f>SUM(H69:H70)</f>
        <v>0</v>
      </c>
      <c r="I68" s="31">
        <f>SUM(I69:I70)</f>
        <v>0</v>
      </c>
      <c r="J68" s="31">
        <f>H68+I68</f>
        <v>0</v>
      </c>
      <c r="K68" s="28"/>
      <c r="L68" s="31">
        <f>SUM(L69:L69)</f>
        <v>0.0547525</v>
      </c>
      <c r="P68" s="31">
        <f>IF(Q68="PR",J68,SUM(O69:O69))</f>
        <v>0</v>
      </c>
      <c r="Q68" s="28" t="s">
        <v>53</v>
      </c>
      <c r="R68" s="31">
        <f>IF(Q68="HS",H68,0)</f>
        <v>0</v>
      </c>
      <c r="S68" s="31">
        <f>IF(Q68="HS",I68-P68,0)</f>
        <v>0</v>
      </c>
      <c r="T68" s="31">
        <f>IF(Q68="PS",H68,0)</f>
        <v>0</v>
      </c>
      <c r="U68" s="31">
        <f>IF(Q68="PS",I68-P68,0)</f>
        <v>0</v>
      </c>
      <c r="V68" s="31">
        <f>IF(Q68="MP",H68,0)</f>
        <v>0</v>
      </c>
      <c r="W68" s="31">
        <f>IF(Q68="MP",I68-P68,0)</f>
        <v>0</v>
      </c>
      <c r="X68" s="31">
        <f>IF(Q68="OM",H68,0)</f>
        <v>0</v>
      </c>
      <c r="Y68" s="28"/>
      <c r="AI68" s="31">
        <f>SUM(Z69:Z69)</f>
        <v>0</v>
      </c>
      <c r="AJ68" s="31">
        <f>SUM(AA69:AA69)</f>
        <v>0</v>
      </c>
      <c r="AK68" s="31">
        <f>SUM(AB69:AB69)</f>
        <v>0</v>
      </c>
    </row>
    <row r="69" spans="1:32" ht="12.75">
      <c r="A69" s="9" t="s">
        <v>186</v>
      </c>
      <c r="B69" s="9"/>
      <c r="C69" s="9" t="s">
        <v>187</v>
      </c>
      <c r="D69" s="9" t="s">
        <v>188</v>
      </c>
      <c r="E69" s="9" t="s">
        <v>99</v>
      </c>
      <c r="F69" s="41">
        <v>30.25</v>
      </c>
      <c r="H69" s="41">
        <f>ROUND(F69*AE69,2)</f>
        <v>0</v>
      </c>
      <c r="I69" s="41">
        <f>J69-H69</f>
        <v>0</v>
      </c>
      <c r="J69" s="41">
        <f>ROUND(F69*G69,2)</f>
        <v>0</v>
      </c>
      <c r="K69" s="41">
        <v>0.00181</v>
      </c>
      <c r="L69" s="41">
        <f>F69*K69</f>
        <v>0.0547525</v>
      </c>
      <c r="N69" s="42" t="s">
        <v>44</v>
      </c>
      <c r="O69" s="41">
        <f>IF(N69="5",I69,0)</f>
        <v>0</v>
      </c>
      <c r="Z69" s="41">
        <f>IF(AD69=0,J69,0)</f>
        <v>0</v>
      </c>
      <c r="AA69" s="41">
        <f>IF(AD69=14,J69,0)</f>
        <v>0</v>
      </c>
      <c r="AB69" s="41">
        <f>IF(AD69=20,J69,0)</f>
        <v>0</v>
      </c>
      <c r="AD69" s="41">
        <v>20</v>
      </c>
      <c r="AE69" s="41">
        <f>G69*0.464661406969099</f>
        <v>0</v>
      </c>
      <c r="AF69" s="41">
        <f>G69*(1-0.464661406969099)</f>
        <v>0</v>
      </c>
    </row>
    <row r="70" spans="1:32" s="39" customFormat="1" ht="12.75">
      <c r="A70" s="34"/>
      <c r="B70" s="34"/>
      <c r="C70" s="34" t="s">
        <v>189</v>
      </c>
      <c r="D70" s="34" t="s">
        <v>190</v>
      </c>
      <c r="E70" s="34" t="s">
        <v>99</v>
      </c>
      <c r="F70" s="37">
        <v>8</v>
      </c>
      <c r="H70" s="37">
        <f>ROUND(F70*AE70,2)</f>
        <v>0</v>
      </c>
      <c r="I70" s="37">
        <f>J70-H70</f>
        <v>0</v>
      </c>
      <c r="J70" s="37">
        <f>ROUND(F70*G70,2)</f>
        <v>0</v>
      </c>
      <c r="K70" s="37">
        <v>0</v>
      </c>
      <c r="L70" s="37">
        <f>F70*K70</f>
        <v>0</v>
      </c>
      <c r="N70" s="36"/>
      <c r="O70" s="37"/>
      <c r="Z70" s="37"/>
      <c r="AA70" s="37"/>
      <c r="AB70" s="37"/>
      <c r="AD70" s="37"/>
      <c r="AE70" s="37"/>
      <c r="AF70" s="37"/>
    </row>
    <row r="71" spans="1:37" ht="12.75">
      <c r="A71" s="29"/>
      <c r="B71" s="29"/>
      <c r="C71" s="30" t="s">
        <v>191</v>
      </c>
      <c r="D71" s="30" t="s">
        <v>192</v>
      </c>
      <c r="E71" s="30"/>
      <c r="F71" s="30"/>
      <c r="G71" s="30"/>
      <c r="H71" s="31">
        <f>SUM(H72:H73)</f>
        <v>0</v>
      </c>
      <c r="I71" s="31">
        <f>SUM(I72:I73)</f>
        <v>0</v>
      </c>
      <c r="J71" s="31">
        <f>H71+I71</f>
        <v>0</v>
      </c>
      <c r="K71" s="28"/>
      <c r="L71" s="31">
        <f>SUM(L72:L73)</f>
        <v>67.75452</v>
      </c>
      <c r="P71" s="31">
        <f>IF(Q71="PR",J71,SUM(O72:O73))</f>
        <v>0</v>
      </c>
      <c r="Q71" s="28" t="s">
        <v>53</v>
      </c>
      <c r="R71" s="31">
        <f>IF(Q71="HS",H71,0)</f>
        <v>0</v>
      </c>
      <c r="S71" s="31">
        <f>IF(Q71="HS",I71-P71,0)</f>
        <v>0</v>
      </c>
      <c r="T71" s="31">
        <f>IF(Q71="PS",H71,0)</f>
        <v>0</v>
      </c>
      <c r="U71" s="31">
        <f>IF(Q71="PS",I71-P71,0)</f>
        <v>0</v>
      </c>
      <c r="V71" s="31">
        <f>IF(Q71="MP",H71,0)</f>
        <v>0</v>
      </c>
      <c r="W71" s="31">
        <f>IF(Q71="MP",I71-P71,0)</f>
        <v>0</v>
      </c>
      <c r="X71" s="31">
        <f>IF(Q71="OM",H71,0)</f>
        <v>0</v>
      </c>
      <c r="Y71" s="28"/>
      <c r="AI71" s="31">
        <f>SUM(Z72:Z73)</f>
        <v>0</v>
      </c>
      <c r="AJ71" s="31">
        <f>SUM(AA72:AA73)</f>
        <v>0</v>
      </c>
      <c r="AK71" s="31">
        <f>SUM(AB72:AB73)</f>
        <v>0</v>
      </c>
    </row>
    <row r="72" spans="1:32" ht="12.75">
      <c r="A72" s="9" t="s">
        <v>193</v>
      </c>
      <c r="B72" s="9"/>
      <c r="C72" s="9" t="s">
        <v>194</v>
      </c>
      <c r="D72" s="9" t="s">
        <v>195</v>
      </c>
      <c r="E72" s="9" t="s">
        <v>68</v>
      </c>
      <c r="F72" s="41">
        <v>13.468</v>
      </c>
      <c r="H72" s="41">
        <f>ROUND(F72*AE72,2)</f>
        <v>0</v>
      </c>
      <c r="I72" s="41">
        <f>J72-H72</f>
        <v>0</v>
      </c>
      <c r="J72" s="41">
        <f>ROUND(F72*G72,2)</f>
        <v>0</v>
      </c>
      <c r="K72" s="41">
        <v>2.49</v>
      </c>
      <c r="L72" s="41">
        <f>F72*K72</f>
        <v>33.535320000000006</v>
      </c>
      <c r="N72" s="42" t="s">
        <v>44</v>
      </c>
      <c r="O72" s="41">
        <f>IF(N72="5",I72,0)</f>
        <v>0</v>
      </c>
      <c r="Z72" s="41">
        <f>IF(AD72=0,J72,0)</f>
        <v>0</v>
      </c>
      <c r="AA72" s="41">
        <f>IF(AD72=14,J72,0)</f>
        <v>0</v>
      </c>
      <c r="AB72" s="41">
        <f>IF(AD72=20,J72,0)</f>
        <v>0</v>
      </c>
      <c r="AD72" s="41">
        <v>20</v>
      </c>
      <c r="AE72" s="41">
        <f>G72*0.000279626853498831</f>
        <v>0</v>
      </c>
      <c r="AF72" s="41">
        <f>G72*(1-0.000279626853498831)</f>
        <v>0</v>
      </c>
    </row>
    <row r="73" spans="1:32" ht="12.75">
      <c r="A73" s="9" t="s">
        <v>196</v>
      </c>
      <c r="B73" s="9"/>
      <c r="C73" s="9" t="s">
        <v>197</v>
      </c>
      <c r="D73" s="9" t="s">
        <v>198</v>
      </c>
      <c r="E73" s="9" t="s">
        <v>68</v>
      </c>
      <c r="F73" s="41">
        <v>14.258</v>
      </c>
      <c r="H73" s="41">
        <f>ROUND(F73*AE73,2)</f>
        <v>0</v>
      </c>
      <c r="I73" s="41">
        <f>J73-H73</f>
        <v>0</v>
      </c>
      <c r="J73" s="41">
        <f>ROUND(F73*G73,2)</f>
        <v>0</v>
      </c>
      <c r="K73" s="41">
        <v>2.4</v>
      </c>
      <c r="L73" s="41">
        <f>F73*K73</f>
        <v>34.219199999999994</v>
      </c>
      <c r="N73" s="42" t="s">
        <v>44</v>
      </c>
      <c r="O73" s="41">
        <f>IF(N73="5",I73,0)</f>
        <v>0</v>
      </c>
      <c r="Z73" s="41">
        <f>IF(AD73=0,J73,0)</f>
        <v>0</v>
      </c>
      <c r="AA73" s="41">
        <f>IF(AD73=14,J73,0)</f>
        <v>0</v>
      </c>
      <c r="AB73" s="41">
        <f>IF(AD73=20,J73,0)</f>
        <v>0</v>
      </c>
      <c r="AD73" s="41">
        <v>20</v>
      </c>
      <c r="AE73" s="41">
        <f>G73*0.0561879249948486</f>
        <v>0</v>
      </c>
      <c r="AF73" s="41">
        <f>G73*(1-0.0561879249948486)</f>
        <v>0</v>
      </c>
    </row>
    <row r="74" spans="1:37" ht="12.75">
      <c r="A74" s="29"/>
      <c r="B74" s="29"/>
      <c r="C74" s="30" t="s">
        <v>199</v>
      </c>
      <c r="D74" s="30" t="s">
        <v>200</v>
      </c>
      <c r="E74" s="30"/>
      <c r="F74" s="30"/>
      <c r="G74" s="30"/>
      <c r="H74" s="31">
        <f>SUM(H75:H75)</f>
        <v>0</v>
      </c>
      <c r="I74" s="31">
        <f>SUM(I75:I75)</f>
        <v>0</v>
      </c>
      <c r="J74" s="31">
        <f>H74+I74</f>
        <v>0</v>
      </c>
      <c r="K74" s="28"/>
      <c r="L74" s="31">
        <f>SUM(L75:L75)</f>
        <v>0</v>
      </c>
      <c r="P74" s="31">
        <f>IF(Q74="PR",J74,SUM(O75:O75))</f>
        <v>0</v>
      </c>
      <c r="Q74" s="28" t="s">
        <v>201</v>
      </c>
      <c r="R74" s="31">
        <f>IF(Q74="HS",H74,0)</f>
        <v>0</v>
      </c>
      <c r="S74" s="31">
        <f>IF(Q74="HS",I74-P74,0)</f>
        <v>0</v>
      </c>
      <c r="T74" s="31">
        <f>IF(Q74="PS",H74,0)</f>
        <v>0</v>
      </c>
      <c r="U74" s="31">
        <f>IF(Q74="PS",I74-P74,0)</f>
        <v>0</v>
      </c>
      <c r="V74" s="31">
        <f>IF(Q74="MP",H74,0)</f>
        <v>0</v>
      </c>
      <c r="W74" s="31">
        <f>IF(Q74="MP",I74-P74,0)</f>
        <v>0</v>
      </c>
      <c r="X74" s="31">
        <f>IF(Q74="OM",H74,0)</f>
        <v>0</v>
      </c>
      <c r="Y74" s="28"/>
      <c r="AI74" s="31">
        <f>SUM(Z75:Z75)</f>
        <v>0</v>
      </c>
      <c r="AJ74" s="31">
        <f>SUM(AA75:AA75)</f>
        <v>0</v>
      </c>
      <c r="AK74" s="31">
        <f>SUM(AB75:AB75)</f>
        <v>0</v>
      </c>
    </row>
    <row r="75" spans="1:32" ht="12.75">
      <c r="A75" s="9" t="s">
        <v>202</v>
      </c>
      <c r="B75" s="9"/>
      <c r="C75" s="9" t="s">
        <v>203</v>
      </c>
      <c r="D75" s="9" t="s">
        <v>204</v>
      </c>
      <c r="E75" s="9" t="s">
        <v>90</v>
      </c>
      <c r="F75" s="41">
        <v>92.798</v>
      </c>
      <c r="H75" s="41">
        <f>ROUND(F75*AE75,2)</f>
        <v>0</v>
      </c>
      <c r="I75" s="41">
        <f>J75-H75</f>
        <v>0</v>
      </c>
      <c r="J75" s="41">
        <f>ROUND(F75*G75,2)</f>
        <v>0</v>
      </c>
      <c r="K75" s="41">
        <v>0</v>
      </c>
      <c r="L75" s="41">
        <f>F75*K75</f>
        <v>0</v>
      </c>
      <c r="N75" s="42" t="s">
        <v>74</v>
      </c>
      <c r="O75" s="41">
        <f>IF(N75="5",I75,0)</f>
        <v>0</v>
      </c>
      <c r="Z75" s="41">
        <f>IF(AD75=0,J75,0)</f>
        <v>0</v>
      </c>
      <c r="AA75" s="41">
        <f>IF(AD75=14,J75,0)</f>
        <v>0</v>
      </c>
      <c r="AB75" s="41">
        <f>IF(AD75=20,J75,0)</f>
        <v>0</v>
      </c>
      <c r="AD75" s="41">
        <v>20</v>
      </c>
      <c r="AE75" s="41">
        <f>G75*0</f>
        <v>0</v>
      </c>
      <c r="AF75" s="41">
        <f>G75*(1-0)</f>
        <v>0</v>
      </c>
    </row>
    <row r="76" spans="1:37" ht="12.75">
      <c r="A76" s="29"/>
      <c r="B76" s="29"/>
      <c r="C76" s="30" t="s">
        <v>205</v>
      </c>
      <c r="D76" s="30" t="s">
        <v>206</v>
      </c>
      <c r="E76" s="30"/>
      <c r="F76" s="30"/>
      <c r="G76" s="30"/>
      <c r="H76" s="31">
        <f>SUM(H77:H80)</f>
        <v>0</v>
      </c>
      <c r="I76" s="31">
        <f>SUM(I77:I80)</f>
        <v>0</v>
      </c>
      <c r="J76" s="31">
        <f>H76+I76</f>
        <v>0</v>
      </c>
      <c r="K76" s="28"/>
      <c r="L76" s="31">
        <f>SUM(L77:L80)</f>
        <v>0</v>
      </c>
      <c r="P76" s="31">
        <f>IF(Q76="PR",J76,SUM(O77:O80))</f>
        <v>0</v>
      </c>
      <c r="Q76" s="28" t="s">
        <v>201</v>
      </c>
      <c r="R76" s="31">
        <f>IF(Q76="HS",H76,0)</f>
        <v>0</v>
      </c>
      <c r="S76" s="31">
        <f>IF(Q76="HS",I76-P76,0)</f>
        <v>0</v>
      </c>
      <c r="T76" s="31">
        <f>IF(Q76="PS",H76,0)</f>
        <v>0</v>
      </c>
      <c r="U76" s="31">
        <f>IF(Q76="PS",I76-P76,0)</f>
        <v>0</v>
      </c>
      <c r="V76" s="31">
        <f>IF(Q76="MP",H76,0)</f>
        <v>0</v>
      </c>
      <c r="W76" s="31">
        <f>IF(Q76="MP",I76-P76,0)</f>
        <v>0</v>
      </c>
      <c r="X76" s="31">
        <f>IF(Q76="OM",H76,0)</f>
        <v>0</v>
      </c>
      <c r="Y76" s="28"/>
      <c r="AI76" s="31">
        <f>SUM(Z77:Z80)</f>
        <v>0</v>
      </c>
      <c r="AJ76" s="31">
        <f>SUM(AA77:AA80)</f>
        <v>0</v>
      </c>
      <c r="AK76" s="31">
        <f>SUM(AB77:AB80)</f>
        <v>0</v>
      </c>
    </row>
    <row r="77" spans="1:32" ht="12.75">
      <c r="A77" s="9" t="s">
        <v>207</v>
      </c>
      <c r="B77" s="9"/>
      <c r="C77" s="9" t="s">
        <v>208</v>
      </c>
      <c r="D77" s="9" t="s">
        <v>209</v>
      </c>
      <c r="E77" s="9" t="s">
        <v>90</v>
      </c>
      <c r="F77" s="41">
        <v>156.301</v>
      </c>
      <c r="H77" s="41">
        <f>ROUND(F77*AE77,2)</f>
        <v>0</v>
      </c>
      <c r="I77" s="41">
        <f>J77-H77</f>
        <v>0</v>
      </c>
      <c r="J77" s="41">
        <f>ROUND(F77*G77,2)</f>
        <v>0</v>
      </c>
      <c r="K77" s="41">
        <v>0</v>
      </c>
      <c r="L77" s="41">
        <f>F77*K77</f>
        <v>0</v>
      </c>
      <c r="N77" s="42" t="s">
        <v>74</v>
      </c>
      <c r="O77" s="41">
        <f>IF(N77="5",I77,0)</f>
        <v>0</v>
      </c>
      <c r="Z77" s="41">
        <f>IF(AD77=0,J77,0)</f>
        <v>0</v>
      </c>
      <c r="AA77" s="41">
        <f>IF(AD77=14,J77,0)</f>
        <v>0</v>
      </c>
      <c r="AB77" s="41">
        <f>IF(AD77=20,J77,0)</f>
        <v>0</v>
      </c>
      <c r="AD77" s="41">
        <v>20</v>
      </c>
      <c r="AE77" s="41">
        <f>G77*0</f>
        <v>0</v>
      </c>
      <c r="AF77" s="41">
        <f>G77*(1-0)</f>
        <v>0</v>
      </c>
    </row>
    <row r="78" spans="1:32" ht="12.75">
      <c r="A78" s="9" t="s">
        <v>210</v>
      </c>
      <c r="B78" s="9"/>
      <c r="C78" s="9" t="s">
        <v>211</v>
      </c>
      <c r="D78" s="9" t="s">
        <v>212</v>
      </c>
      <c r="E78" s="9" t="s">
        <v>90</v>
      </c>
      <c r="F78" s="41">
        <v>1406.71</v>
      </c>
      <c r="H78" s="41">
        <f>ROUND(F78*AE78,2)</f>
        <v>0</v>
      </c>
      <c r="I78" s="41">
        <f>J78-H78</f>
        <v>0</v>
      </c>
      <c r="J78" s="41">
        <f>ROUND(F78*G78,2)</f>
        <v>0</v>
      </c>
      <c r="K78" s="41">
        <v>0</v>
      </c>
      <c r="L78" s="41">
        <f>F78*K78</f>
        <v>0</v>
      </c>
      <c r="N78" s="42" t="s">
        <v>74</v>
      </c>
      <c r="O78" s="41">
        <f>IF(N78="5",I78,0)</f>
        <v>0</v>
      </c>
      <c r="Z78" s="41">
        <f>IF(AD78=0,J78,0)</f>
        <v>0</v>
      </c>
      <c r="AA78" s="41">
        <f>IF(AD78=14,J78,0)</f>
        <v>0</v>
      </c>
      <c r="AB78" s="41">
        <f>IF(AD78=20,J78,0)</f>
        <v>0</v>
      </c>
      <c r="AD78" s="41">
        <v>20</v>
      </c>
      <c r="AE78" s="41">
        <f>G78*0</f>
        <v>0</v>
      </c>
      <c r="AF78" s="41">
        <f>G78*(1-0)</f>
        <v>0</v>
      </c>
    </row>
    <row r="79" spans="1:32" ht="12.75">
      <c r="A79" s="9" t="s">
        <v>133</v>
      </c>
      <c r="B79" s="9"/>
      <c r="C79" s="9" t="s">
        <v>213</v>
      </c>
      <c r="D79" s="9" t="s">
        <v>214</v>
      </c>
      <c r="E79" s="9" t="s">
        <v>90</v>
      </c>
      <c r="F79" s="41">
        <v>34.218</v>
      </c>
      <c r="H79" s="41">
        <f>ROUND(F79*AE79,2)</f>
        <v>0</v>
      </c>
      <c r="I79" s="41">
        <f>J79-H79</f>
        <v>0</v>
      </c>
      <c r="J79" s="41">
        <f>ROUND(F79*G79,2)</f>
        <v>0</v>
      </c>
      <c r="K79" s="41">
        <v>0</v>
      </c>
      <c r="L79" s="41">
        <f>F79*K79</f>
        <v>0</v>
      </c>
      <c r="N79" s="42" t="s">
        <v>74</v>
      </c>
      <c r="O79" s="41">
        <f>IF(N79="5",I79,0)</f>
        <v>0</v>
      </c>
      <c r="Z79" s="41">
        <f>IF(AD79=0,J79,0)</f>
        <v>0</v>
      </c>
      <c r="AA79" s="41">
        <f>IF(AD79=14,J79,0)</f>
        <v>0</v>
      </c>
      <c r="AB79" s="41">
        <f>IF(AD79=20,J79,0)</f>
        <v>0</v>
      </c>
      <c r="AD79" s="41">
        <v>20</v>
      </c>
      <c r="AE79" s="41">
        <f>G79*0</f>
        <v>0</v>
      </c>
      <c r="AF79" s="41">
        <f>G79*(1-0)</f>
        <v>0</v>
      </c>
    </row>
    <row r="80" spans="1:32" ht="12.75">
      <c r="A80" s="9" t="s">
        <v>215</v>
      </c>
      <c r="B80" s="9"/>
      <c r="C80" s="9" t="s">
        <v>216</v>
      </c>
      <c r="D80" s="9" t="s">
        <v>217</v>
      </c>
      <c r="E80" s="9" t="s">
        <v>90</v>
      </c>
      <c r="F80" s="41">
        <v>32.323</v>
      </c>
      <c r="H80" s="41">
        <f>ROUND(F80*AE80,2)</f>
        <v>0</v>
      </c>
      <c r="I80" s="41">
        <f>J80-H80</f>
        <v>0</v>
      </c>
      <c r="J80" s="41">
        <f>ROUND(F80*G80,2)</f>
        <v>0</v>
      </c>
      <c r="K80" s="41">
        <v>0</v>
      </c>
      <c r="L80" s="41">
        <f>F80*K80</f>
        <v>0</v>
      </c>
      <c r="N80" s="42" t="s">
        <v>74</v>
      </c>
      <c r="O80" s="41">
        <f>IF(N80="5",I80,0)</f>
        <v>0</v>
      </c>
      <c r="Z80" s="41">
        <f>IF(AD80=0,J80,0)</f>
        <v>0</v>
      </c>
      <c r="AA80" s="41">
        <f>IF(AD80=14,J80,0)</f>
        <v>0</v>
      </c>
      <c r="AB80" s="41">
        <f>IF(AD80=20,J80,0)</f>
        <v>0</v>
      </c>
      <c r="AD80" s="41">
        <v>20</v>
      </c>
      <c r="AE80" s="41">
        <f>G80*0</f>
        <v>0</v>
      </c>
      <c r="AF80" s="41">
        <f>G80*(1-0)</f>
        <v>0</v>
      </c>
    </row>
    <row r="81" spans="1:37" ht="12.75">
      <c r="A81" s="29"/>
      <c r="B81" s="29"/>
      <c r="C81" s="30"/>
      <c r="D81" s="30" t="s">
        <v>218</v>
      </c>
      <c r="E81" s="30"/>
      <c r="F81" s="30"/>
      <c r="G81" s="30"/>
      <c r="H81" s="31">
        <f>SUM(H82:H85)</f>
        <v>0</v>
      </c>
      <c r="I81" s="31">
        <f>SUM(I82:I85)</f>
        <v>0</v>
      </c>
      <c r="J81" s="31">
        <f>H81+I81</f>
        <v>0</v>
      </c>
      <c r="K81" s="28"/>
      <c r="L81" s="31">
        <f>SUM(L82:L85)</f>
        <v>5.774643</v>
      </c>
      <c r="P81" s="31">
        <f>IF(Q81="PR",J81,SUM(O82:O85))</f>
        <v>0</v>
      </c>
      <c r="Q81" s="28" t="s">
        <v>219</v>
      </c>
      <c r="R81" s="31">
        <f>IF(Q81="HS",H81,0)</f>
        <v>0</v>
      </c>
      <c r="S81" s="31">
        <f>IF(Q81="HS",I81-P81,0)</f>
        <v>0</v>
      </c>
      <c r="T81" s="31">
        <f>IF(Q81="PS",H81,0)</f>
        <v>0</v>
      </c>
      <c r="U81" s="31">
        <f>IF(Q81="PS",I81-P81,0)</f>
        <v>0</v>
      </c>
      <c r="V81" s="31">
        <f>IF(Q81="MP",H81,0)</f>
        <v>0</v>
      </c>
      <c r="W81" s="31">
        <f>IF(Q81="MP",I81-P81,0)</f>
        <v>0</v>
      </c>
      <c r="X81" s="31">
        <f>IF(Q81="OM",H81,0)</f>
        <v>0</v>
      </c>
      <c r="Y81" s="28"/>
      <c r="AI81" s="31">
        <f>SUM(Z82:Z85)</f>
        <v>0</v>
      </c>
      <c r="AJ81" s="31">
        <f>SUM(AA82:AA85)</f>
        <v>0</v>
      </c>
      <c r="AK81" s="31">
        <f>SUM(AB82:AB85)</f>
        <v>0</v>
      </c>
    </row>
    <row r="82" spans="1:32" ht="12.75">
      <c r="A82" s="9" t="s">
        <v>220</v>
      </c>
      <c r="B82" s="9"/>
      <c r="C82" s="9" t="s">
        <v>221</v>
      </c>
      <c r="D82" s="9" t="s">
        <v>222</v>
      </c>
      <c r="E82" s="9" t="s">
        <v>56</v>
      </c>
      <c r="F82" s="41">
        <v>18.574</v>
      </c>
      <c r="H82" s="41">
        <f>ROUND(F82*AE82,2)</f>
        <v>0</v>
      </c>
      <c r="I82" s="41">
        <f>J82-H82</f>
        <v>0</v>
      </c>
      <c r="J82" s="41">
        <f>ROUND(F82*G82,2)</f>
        <v>0</v>
      </c>
      <c r="K82" s="41">
        <v>0.027</v>
      </c>
      <c r="L82" s="41">
        <f>F82*K82</f>
        <v>0.501498</v>
      </c>
      <c r="N82" s="42" t="s">
        <v>39</v>
      </c>
      <c r="O82" s="41">
        <f>IF(N82="5",I82,0)</f>
        <v>0</v>
      </c>
      <c r="Z82" s="41">
        <f>IF(AD82=0,J82,0)</f>
        <v>0</v>
      </c>
      <c r="AA82" s="41">
        <f>IF(AD82=14,J82,0)</f>
        <v>0</v>
      </c>
      <c r="AB82" s="41">
        <f>IF(AD82=20,J82,0)</f>
        <v>0</v>
      </c>
      <c r="AD82" s="41">
        <v>20</v>
      </c>
      <c r="AE82" s="41">
        <f>G82*1</f>
        <v>0</v>
      </c>
      <c r="AF82" s="41">
        <f>G82*(1-1)</f>
        <v>0</v>
      </c>
    </row>
    <row r="83" spans="1:32" ht="12.75">
      <c r="A83" s="9" t="s">
        <v>149</v>
      </c>
      <c r="B83" s="9"/>
      <c r="C83" s="9" t="s">
        <v>223</v>
      </c>
      <c r="D83" s="9" t="s">
        <v>224</v>
      </c>
      <c r="E83" s="9" t="s">
        <v>225</v>
      </c>
      <c r="F83" s="41">
        <v>5075</v>
      </c>
      <c r="H83" s="41">
        <f>ROUND(F83*AE83,2)</f>
        <v>0</v>
      </c>
      <c r="I83" s="41">
        <f>J83-H83</f>
        <v>0</v>
      </c>
      <c r="J83" s="41">
        <f>ROUND(F83*G83,2)</f>
        <v>0</v>
      </c>
      <c r="K83" s="41">
        <v>0.001</v>
      </c>
      <c r="L83" s="41">
        <f>F83*K83</f>
        <v>5.075</v>
      </c>
      <c r="N83" s="42" t="s">
        <v>39</v>
      </c>
      <c r="O83" s="41">
        <f>IF(N83="5",I83,0)</f>
        <v>0</v>
      </c>
      <c r="Z83" s="41">
        <f>IF(AD83=0,J83,0)</f>
        <v>0</v>
      </c>
      <c r="AA83" s="41">
        <f>IF(AD83=14,J83,0)</f>
        <v>0</v>
      </c>
      <c r="AB83" s="41">
        <f>IF(AD83=20,J83,0)</f>
        <v>0</v>
      </c>
      <c r="AD83" s="41">
        <v>20</v>
      </c>
      <c r="AE83" s="41">
        <f>G83*1</f>
        <v>0</v>
      </c>
      <c r="AF83" s="41">
        <f>G83*(1-1)</f>
        <v>0</v>
      </c>
    </row>
    <row r="84" spans="1:32" ht="12.75">
      <c r="A84" s="9" t="s">
        <v>226</v>
      </c>
      <c r="B84" s="9"/>
      <c r="C84" s="9" t="s">
        <v>227</v>
      </c>
      <c r="D84" s="9" t="s">
        <v>228</v>
      </c>
      <c r="E84" s="9" t="s">
        <v>229</v>
      </c>
      <c r="F84" s="41">
        <v>0.025</v>
      </c>
      <c r="H84" s="41">
        <f>ROUND(F84*AE84,2)</f>
        <v>0</v>
      </c>
      <c r="I84" s="41">
        <f>J84-H84</f>
        <v>0</v>
      </c>
      <c r="J84" s="41">
        <f>ROUND(F84*G84,2)</f>
        <v>0</v>
      </c>
      <c r="K84" s="41">
        <v>1</v>
      </c>
      <c r="L84" s="41">
        <f>F84*K84</f>
        <v>0.025</v>
      </c>
      <c r="N84" s="42" t="s">
        <v>39</v>
      </c>
      <c r="O84" s="41">
        <f>IF(N84="5",I84,0)</f>
        <v>0</v>
      </c>
      <c r="Z84" s="41">
        <f>IF(AD84=0,J84,0)</f>
        <v>0</v>
      </c>
      <c r="AA84" s="41">
        <f>IF(AD84=14,J84,0)</f>
        <v>0</v>
      </c>
      <c r="AB84" s="41">
        <f>IF(AD84=20,J84,0)</f>
        <v>0</v>
      </c>
      <c r="AD84" s="41">
        <v>20</v>
      </c>
      <c r="AE84" s="41">
        <f>G84*1</f>
        <v>0</v>
      </c>
      <c r="AF84" s="41">
        <f>G84*(1-1)</f>
        <v>0</v>
      </c>
    </row>
    <row r="85" spans="1:32" ht="12.75">
      <c r="A85" s="43" t="s">
        <v>230</v>
      </c>
      <c r="B85" s="43"/>
      <c r="C85" s="43" t="s">
        <v>231</v>
      </c>
      <c r="D85" s="43" t="s">
        <v>232</v>
      </c>
      <c r="E85" s="43" t="s">
        <v>56</v>
      </c>
      <c r="F85" s="44">
        <v>44.625</v>
      </c>
      <c r="G85" s="45"/>
      <c r="H85" s="44">
        <f>ROUND(F85*AE85,2)</f>
        <v>0</v>
      </c>
      <c r="I85" s="44">
        <f>J85-H85</f>
        <v>0</v>
      </c>
      <c r="J85" s="44">
        <f>ROUND(F85*G85,2)</f>
        <v>0</v>
      </c>
      <c r="K85" s="44">
        <v>0.00388</v>
      </c>
      <c r="L85" s="44">
        <f>F85*K85</f>
        <v>0.17314500000000002</v>
      </c>
      <c r="N85" s="42" t="s">
        <v>39</v>
      </c>
      <c r="O85" s="41">
        <f>IF(N85="5",I85,0)</f>
        <v>0</v>
      </c>
      <c r="Z85" s="41">
        <f>IF(AD85=0,J85,0)</f>
        <v>0</v>
      </c>
      <c r="AA85" s="41">
        <f>IF(AD85=14,J85,0)</f>
        <v>0</v>
      </c>
      <c r="AB85" s="41">
        <f>IF(AD85=20,J85,0)</f>
        <v>0</v>
      </c>
      <c r="AD85" s="41">
        <v>20</v>
      </c>
      <c r="AE85" s="41">
        <f>G85*1</f>
        <v>0</v>
      </c>
      <c r="AF85" s="41">
        <f>G85*(1-1)</f>
        <v>0</v>
      </c>
    </row>
    <row r="86" spans="1:28" ht="12.75">
      <c r="A86" s="46"/>
      <c r="B86" s="46"/>
      <c r="C86" s="46"/>
      <c r="D86" s="46"/>
      <c r="E86" s="46"/>
      <c r="F86" s="46"/>
      <c r="G86" s="46"/>
      <c r="H86" s="4" t="s">
        <v>233</v>
      </c>
      <c r="I86" s="4"/>
      <c r="J86" s="47">
        <f>J17+J21+J24+J26+J28+J32+J34+J39+J41+J46+J48+J54+J57+J61+J64+J68+J71+J74+J76+J81+J12</f>
        <v>106</v>
      </c>
      <c r="K86" s="46"/>
      <c r="L86" s="46"/>
      <c r="Z86" s="48">
        <f>SUM(Z18:Z85)</f>
        <v>0</v>
      </c>
      <c r="AA86" s="48">
        <f>SUM(AA18:AA85)</f>
        <v>0</v>
      </c>
      <c r="AB86" s="48">
        <f>SUM(AB18:AB85)</f>
        <v>0</v>
      </c>
    </row>
  </sheetData>
  <sheetProtection selectLockedCells="1" selectUnlockedCells="1"/>
  <mergeCells count="49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7:G17"/>
    <mergeCell ref="D21:G21"/>
    <mergeCell ref="D24:G24"/>
    <mergeCell ref="D26:G26"/>
    <mergeCell ref="D28:G28"/>
    <mergeCell ref="D32:G32"/>
    <mergeCell ref="D34:G34"/>
    <mergeCell ref="D39:G39"/>
    <mergeCell ref="D41:G41"/>
    <mergeCell ref="D46:G46"/>
    <mergeCell ref="D48:G48"/>
    <mergeCell ref="D54:G54"/>
    <mergeCell ref="D57:G57"/>
    <mergeCell ref="D61:G61"/>
    <mergeCell ref="D64:G64"/>
    <mergeCell ref="D68:G68"/>
    <mergeCell ref="D71:G71"/>
    <mergeCell ref="D74:G74"/>
    <mergeCell ref="D76:G76"/>
    <mergeCell ref="D81:G81"/>
    <mergeCell ref="H86:I86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22">
      <selection activeCell="G57" sqref="G57"/>
    </sheetView>
  </sheetViews>
  <sheetFormatPr defaultColWidth="11.421875" defaultRowHeight="12.75"/>
  <cols>
    <col min="1" max="2" width="9.140625" style="1" customWidth="1"/>
    <col min="3" max="3" width="13.28125" style="1" customWidth="1"/>
    <col min="4" max="4" width="48.421875" style="1" customWidth="1"/>
    <col min="5" max="5" width="9.8515625" style="1" customWidth="1"/>
    <col min="6" max="6" width="24.140625" style="1" customWidth="1"/>
    <col min="7" max="7" width="20.421875" style="1" customWidth="1"/>
    <col min="8" max="8" width="44.00390625" style="1" customWidth="1"/>
    <col min="9" max="16384" width="11.421875" style="1" customWidth="1"/>
  </cols>
  <sheetData>
    <row r="1" spans="1:7" ht="21.75" customHeight="1">
      <c r="A1" s="2" t="s">
        <v>234</v>
      </c>
      <c r="B1" s="2"/>
      <c r="C1" s="2"/>
      <c r="D1" s="2"/>
      <c r="E1" s="2"/>
      <c r="F1" s="2"/>
      <c r="G1" s="2"/>
    </row>
    <row r="2" spans="1:8" ht="12.75">
      <c r="A2" s="3" t="s">
        <v>1</v>
      </c>
      <c r="B2" s="3"/>
      <c r="C2" s="4" t="s">
        <v>2</v>
      </c>
      <c r="D2" s="4"/>
      <c r="E2" s="5" t="s">
        <v>4</v>
      </c>
      <c r="F2" s="6"/>
      <c r="G2" s="6"/>
      <c r="H2" s="7"/>
    </row>
    <row r="3" spans="1:8" ht="12.75">
      <c r="A3" s="3"/>
      <c r="B3" s="3"/>
      <c r="C3" s="4"/>
      <c r="D3" s="4"/>
      <c r="E3" s="5"/>
      <c r="F3" s="5"/>
      <c r="G3" s="6"/>
      <c r="H3" s="7"/>
    </row>
    <row r="4" spans="1:8" ht="12.75">
      <c r="A4" s="8" t="s">
        <v>5</v>
      </c>
      <c r="B4" s="8"/>
      <c r="C4" s="9" t="s">
        <v>6</v>
      </c>
      <c r="D4" s="9"/>
      <c r="E4" s="9" t="s">
        <v>9</v>
      </c>
      <c r="F4" s="10"/>
      <c r="G4" s="10"/>
      <c r="H4" s="7"/>
    </row>
    <row r="5" spans="1:8" ht="12.75">
      <c r="A5" s="8"/>
      <c r="B5" s="8"/>
      <c r="C5" s="9"/>
      <c r="D5" s="9"/>
      <c r="E5" s="9"/>
      <c r="F5" s="9"/>
      <c r="G5" s="10"/>
      <c r="H5" s="7"/>
    </row>
    <row r="6" spans="1:8" ht="12.75">
      <c r="A6" s="8" t="s">
        <v>10</v>
      </c>
      <c r="B6" s="8"/>
      <c r="C6" s="9" t="s">
        <v>11</v>
      </c>
      <c r="D6" s="9"/>
      <c r="E6" s="9" t="s">
        <v>13</v>
      </c>
      <c r="F6" s="10" t="s">
        <v>8</v>
      </c>
      <c r="G6" s="10"/>
      <c r="H6" s="7"/>
    </row>
    <row r="7" spans="1:8" ht="12.75">
      <c r="A7" s="8"/>
      <c r="B7" s="8"/>
      <c r="C7" s="9"/>
      <c r="D7" s="9"/>
      <c r="E7" s="9"/>
      <c r="F7" s="9"/>
      <c r="G7" s="10"/>
      <c r="H7" s="7"/>
    </row>
    <row r="8" spans="1:8" ht="12.75">
      <c r="A8" s="12" t="s">
        <v>16</v>
      </c>
      <c r="B8" s="12"/>
      <c r="C8" s="13" t="s">
        <v>8</v>
      </c>
      <c r="D8" s="13"/>
      <c r="E8" s="13" t="s">
        <v>15</v>
      </c>
      <c r="F8" s="49" t="s">
        <v>8</v>
      </c>
      <c r="G8" s="49"/>
      <c r="H8" s="7"/>
    </row>
    <row r="9" spans="1:8" ht="12.75">
      <c r="A9" s="12"/>
      <c r="B9" s="12"/>
      <c r="C9" s="13"/>
      <c r="D9" s="13"/>
      <c r="E9" s="13"/>
      <c r="F9" s="13"/>
      <c r="G9" s="49"/>
      <c r="H9" s="50"/>
    </row>
    <row r="10" spans="1:9" ht="12.75">
      <c r="A10" s="51" t="s">
        <v>20</v>
      </c>
      <c r="B10" s="52" t="s">
        <v>21</v>
      </c>
      <c r="C10" s="52" t="s">
        <v>22</v>
      </c>
      <c r="D10" s="52" t="s">
        <v>23</v>
      </c>
      <c r="E10" s="52" t="s">
        <v>24</v>
      </c>
      <c r="F10" s="52" t="s">
        <v>235</v>
      </c>
      <c r="G10" s="53" t="s">
        <v>25</v>
      </c>
      <c r="H10" s="54" t="s">
        <v>236</v>
      </c>
      <c r="I10" s="20"/>
    </row>
    <row r="11" spans="1:8" ht="12.75">
      <c r="A11" s="55" t="s">
        <v>44</v>
      </c>
      <c r="B11" s="55"/>
      <c r="C11" s="55" t="s">
        <v>54</v>
      </c>
      <c r="D11" s="55" t="s">
        <v>55</v>
      </c>
      <c r="E11" s="55" t="s">
        <v>56</v>
      </c>
      <c r="F11" s="55"/>
      <c r="G11" s="56">
        <v>43.2</v>
      </c>
      <c r="H11" s="57"/>
    </row>
    <row r="12" spans="1:7" ht="12.75">
      <c r="A12" s="9" t="s">
        <v>57</v>
      </c>
      <c r="B12" s="9"/>
      <c r="C12" s="9" t="s">
        <v>58</v>
      </c>
      <c r="D12" s="9" t="s">
        <v>59</v>
      </c>
      <c r="E12" s="9" t="s">
        <v>56</v>
      </c>
      <c r="F12" s="9"/>
      <c r="G12" s="41">
        <v>39.2</v>
      </c>
    </row>
    <row r="13" spans="1:7" ht="12.75">
      <c r="A13" s="9" t="s">
        <v>65</v>
      </c>
      <c r="B13" s="9"/>
      <c r="C13" s="9" t="s">
        <v>66</v>
      </c>
      <c r="D13" s="9" t="s">
        <v>67</v>
      </c>
      <c r="E13" s="9" t="s">
        <v>68</v>
      </c>
      <c r="F13" s="9"/>
      <c r="G13" s="41">
        <v>12.546</v>
      </c>
    </row>
    <row r="14" spans="1:7" ht="12.75">
      <c r="A14" s="9" t="s">
        <v>69</v>
      </c>
      <c r="B14" s="9"/>
      <c r="C14" s="9" t="s">
        <v>70</v>
      </c>
      <c r="D14" s="9" t="s">
        <v>71</v>
      </c>
      <c r="E14" s="9" t="s">
        <v>68</v>
      </c>
      <c r="F14" s="9"/>
      <c r="G14" s="41">
        <v>10</v>
      </c>
    </row>
    <row r="15" spans="1:7" ht="12.75">
      <c r="A15" s="9" t="s">
        <v>74</v>
      </c>
      <c r="B15" s="9"/>
      <c r="C15" s="9" t="s">
        <v>75</v>
      </c>
      <c r="D15" s="9" t="s">
        <v>76</v>
      </c>
      <c r="E15" s="9" t="s">
        <v>68</v>
      </c>
      <c r="F15" s="9"/>
      <c r="G15" s="41">
        <v>25</v>
      </c>
    </row>
    <row r="16" spans="1:7" ht="12.75">
      <c r="A16" s="9" t="s">
        <v>79</v>
      </c>
      <c r="B16" s="9"/>
      <c r="C16" s="9" t="s">
        <v>80</v>
      </c>
      <c r="D16" s="9" t="s">
        <v>81</v>
      </c>
      <c r="E16" s="9" t="s">
        <v>68</v>
      </c>
      <c r="F16" s="9"/>
      <c r="G16" s="41">
        <v>25</v>
      </c>
    </row>
    <row r="17" spans="1:7" ht="12.75">
      <c r="A17" s="9" t="s">
        <v>84</v>
      </c>
      <c r="B17" s="9"/>
      <c r="C17" s="9" t="s">
        <v>85</v>
      </c>
      <c r="D17" s="9" t="s">
        <v>86</v>
      </c>
      <c r="E17" s="9" t="s">
        <v>68</v>
      </c>
      <c r="F17" s="9"/>
      <c r="G17" s="41">
        <v>25</v>
      </c>
    </row>
    <row r="18" spans="1:7" ht="12.75">
      <c r="A18" s="9" t="s">
        <v>87</v>
      </c>
      <c r="B18" s="9"/>
      <c r="C18" s="9" t="s">
        <v>88</v>
      </c>
      <c r="D18" s="9" t="s">
        <v>89</v>
      </c>
      <c r="E18" s="9" t="s">
        <v>90</v>
      </c>
      <c r="F18" s="9"/>
      <c r="G18" s="41">
        <v>45</v>
      </c>
    </row>
    <row r="19" spans="1:7" ht="12.75">
      <c r="A19" s="9" t="s">
        <v>91</v>
      </c>
      <c r="B19" s="9"/>
      <c r="C19" s="9" t="s">
        <v>92</v>
      </c>
      <c r="D19" s="9" t="s">
        <v>93</v>
      </c>
      <c r="E19" s="9" t="s">
        <v>68</v>
      </c>
      <c r="F19" s="9"/>
      <c r="G19" s="41">
        <v>2.83</v>
      </c>
    </row>
    <row r="20" spans="1:7" ht="12.75">
      <c r="A20" s="9" t="s">
        <v>96</v>
      </c>
      <c r="B20" s="9"/>
      <c r="C20" s="9" t="s">
        <v>97</v>
      </c>
      <c r="D20" s="9" t="s">
        <v>98</v>
      </c>
      <c r="E20" s="9" t="s">
        <v>99</v>
      </c>
      <c r="F20" s="9"/>
      <c r="G20" s="41">
        <v>10.2</v>
      </c>
    </row>
    <row r="21" spans="1:7" ht="12.75">
      <c r="A21" s="9" t="s">
        <v>51</v>
      </c>
      <c r="B21" s="9"/>
      <c r="C21" s="9" t="s">
        <v>102</v>
      </c>
      <c r="D21" s="9" t="s">
        <v>103</v>
      </c>
      <c r="E21" s="9" t="s">
        <v>68</v>
      </c>
      <c r="F21" s="9"/>
      <c r="G21" s="41">
        <v>1.96</v>
      </c>
    </row>
    <row r="22" spans="1:7" ht="12.75">
      <c r="A22" s="9" t="s">
        <v>63</v>
      </c>
      <c r="B22" s="9"/>
      <c r="C22" s="9" t="s">
        <v>104</v>
      </c>
      <c r="D22" s="9" t="s">
        <v>105</v>
      </c>
      <c r="E22" s="9" t="s">
        <v>56</v>
      </c>
      <c r="F22" s="9"/>
      <c r="G22" s="41">
        <v>6.345</v>
      </c>
    </row>
    <row r="23" spans="1:7" ht="12.75">
      <c r="A23" s="9" t="s">
        <v>72</v>
      </c>
      <c r="B23" s="9"/>
      <c r="C23" s="9" t="s">
        <v>106</v>
      </c>
      <c r="D23" s="9" t="s">
        <v>107</v>
      </c>
      <c r="E23" s="9" t="s">
        <v>56</v>
      </c>
      <c r="F23" s="9"/>
      <c r="G23" s="41">
        <v>6.345</v>
      </c>
    </row>
    <row r="24" spans="1:7" ht="12.75">
      <c r="A24" s="9" t="s">
        <v>108</v>
      </c>
      <c r="B24" s="9"/>
      <c r="C24" s="9" t="s">
        <v>109</v>
      </c>
      <c r="D24" s="9" t="s">
        <v>110</v>
      </c>
      <c r="E24" s="9" t="s">
        <v>90</v>
      </c>
      <c r="F24" s="9"/>
      <c r="G24" s="41">
        <v>0.232</v>
      </c>
    </row>
    <row r="25" spans="1:7" ht="12.75">
      <c r="A25" s="9" t="s">
        <v>113</v>
      </c>
      <c r="B25" s="9"/>
      <c r="C25" s="9" t="s">
        <v>114</v>
      </c>
      <c r="D25" s="9" t="s">
        <v>115</v>
      </c>
      <c r="E25" s="9" t="s">
        <v>68</v>
      </c>
      <c r="F25" s="9"/>
      <c r="G25" s="41">
        <v>4.35</v>
      </c>
    </row>
    <row r="26" spans="1:7" ht="12.75">
      <c r="A26" s="9" t="s">
        <v>77</v>
      </c>
      <c r="B26" s="9"/>
      <c r="C26" s="9" t="s">
        <v>118</v>
      </c>
      <c r="D26" s="9" t="s">
        <v>119</v>
      </c>
      <c r="E26" s="9" t="s">
        <v>68</v>
      </c>
      <c r="F26" s="9"/>
      <c r="G26" s="41">
        <v>9.118</v>
      </c>
    </row>
    <row r="27" spans="1:7" ht="12.75">
      <c r="A27" s="9" t="s">
        <v>82</v>
      </c>
      <c r="B27" s="9"/>
      <c r="C27" s="9" t="s">
        <v>120</v>
      </c>
      <c r="D27" s="9" t="s">
        <v>121</v>
      </c>
      <c r="E27" s="9" t="s">
        <v>56</v>
      </c>
      <c r="F27" s="9"/>
      <c r="G27" s="41">
        <v>13.16</v>
      </c>
    </row>
    <row r="28" spans="1:7" ht="12.75">
      <c r="A28" s="9" t="s">
        <v>122</v>
      </c>
      <c r="B28" s="9"/>
      <c r="C28" s="9" t="s">
        <v>123</v>
      </c>
      <c r="D28" s="9" t="s">
        <v>124</v>
      </c>
      <c r="E28" s="9" t="s">
        <v>56</v>
      </c>
      <c r="F28" s="9"/>
      <c r="G28" s="41">
        <v>13.16</v>
      </c>
    </row>
    <row r="29" spans="1:7" ht="12.75">
      <c r="A29" s="9" t="s">
        <v>125</v>
      </c>
      <c r="B29" s="9"/>
      <c r="C29" s="9" t="s">
        <v>126</v>
      </c>
      <c r="D29" s="9" t="s">
        <v>127</v>
      </c>
      <c r="E29" s="9" t="s">
        <v>90</v>
      </c>
      <c r="F29" s="9"/>
      <c r="G29" s="41">
        <v>0.387</v>
      </c>
    </row>
    <row r="30" spans="1:7" ht="12.75">
      <c r="A30" s="9" t="s">
        <v>130</v>
      </c>
      <c r="B30" s="9"/>
      <c r="C30" s="9" t="s">
        <v>131</v>
      </c>
      <c r="D30" s="9" t="s">
        <v>132</v>
      </c>
      <c r="E30" s="9" t="s">
        <v>99</v>
      </c>
      <c r="F30" s="9"/>
      <c r="G30" s="41">
        <v>17.25</v>
      </c>
    </row>
    <row r="31" spans="1:7" ht="12.75">
      <c r="A31" s="9" t="s">
        <v>94</v>
      </c>
      <c r="B31" s="9"/>
      <c r="C31" s="9" t="s">
        <v>135</v>
      </c>
      <c r="D31" s="9" t="s">
        <v>136</v>
      </c>
      <c r="E31" s="9" t="s">
        <v>68</v>
      </c>
      <c r="F31" s="9"/>
      <c r="G31" s="41">
        <v>8.976</v>
      </c>
    </row>
    <row r="32" spans="1:7" ht="12.75">
      <c r="A32" s="9" t="s">
        <v>137</v>
      </c>
      <c r="B32" s="9"/>
      <c r="C32" s="9" t="s">
        <v>138</v>
      </c>
      <c r="D32" s="9" t="s">
        <v>139</v>
      </c>
      <c r="E32" s="9" t="s">
        <v>90</v>
      </c>
      <c r="F32" s="9"/>
      <c r="G32" s="41">
        <v>1.161</v>
      </c>
    </row>
    <row r="33" spans="1:7" ht="12.75">
      <c r="A33" s="9" t="s">
        <v>140</v>
      </c>
      <c r="B33" s="9"/>
      <c r="C33" s="9" t="s">
        <v>141</v>
      </c>
      <c r="D33" s="9" t="s">
        <v>142</v>
      </c>
      <c r="E33" s="9" t="s">
        <v>56</v>
      </c>
      <c r="F33" s="9"/>
      <c r="G33" s="41">
        <v>16.695</v>
      </c>
    </row>
    <row r="34" spans="1:7" ht="12.75">
      <c r="A34" s="9" t="s">
        <v>143</v>
      </c>
      <c r="B34" s="9"/>
      <c r="C34" s="9" t="s">
        <v>144</v>
      </c>
      <c r="D34" s="9" t="s">
        <v>145</v>
      </c>
      <c r="E34" s="9" t="s">
        <v>56</v>
      </c>
      <c r="F34" s="9"/>
      <c r="G34" s="41">
        <v>5.72</v>
      </c>
    </row>
    <row r="35" spans="1:7" ht="12.75">
      <c r="A35" s="9" t="s">
        <v>146</v>
      </c>
      <c r="B35" s="9"/>
      <c r="C35" s="9" t="s">
        <v>147</v>
      </c>
      <c r="D35" s="9" t="s">
        <v>148</v>
      </c>
      <c r="E35" s="9" t="s">
        <v>56</v>
      </c>
      <c r="F35" s="9"/>
      <c r="G35" s="41">
        <v>5.72</v>
      </c>
    </row>
    <row r="36" spans="1:7" ht="12.75">
      <c r="A36" s="9" t="s">
        <v>151</v>
      </c>
      <c r="B36" s="9"/>
      <c r="C36" s="9" t="s">
        <v>152</v>
      </c>
      <c r="D36" s="9" t="s">
        <v>153</v>
      </c>
      <c r="E36" s="9" t="s">
        <v>68</v>
      </c>
      <c r="F36" s="9"/>
      <c r="G36" s="41">
        <v>2.945</v>
      </c>
    </row>
    <row r="37" spans="1:7" ht="12.75">
      <c r="A37" s="9" t="s">
        <v>154</v>
      </c>
      <c r="B37" s="9"/>
      <c r="C37" s="9" t="s">
        <v>155</v>
      </c>
      <c r="D37" s="9" t="s">
        <v>156</v>
      </c>
      <c r="E37" s="9" t="s">
        <v>68</v>
      </c>
      <c r="F37" s="9"/>
      <c r="G37" s="41">
        <v>25</v>
      </c>
    </row>
    <row r="38" spans="1:7" ht="12.75">
      <c r="A38" s="9" t="s">
        <v>159</v>
      </c>
      <c r="B38" s="9"/>
      <c r="C38" s="9" t="s">
        <v>160</v>
      </c>
      <c r="D38" s="9" t="s">
        <v>161</v>
      </c>
      <c r="E38" s="9" t="s">
        <v>56</v>
      </c>
      <c r="F38" s="9"/>
      <c r="G38" s="41">
        <v>89.7</v>
      </c>
    </row>
    <row r="39" spans="1:7" ht="12.75">
      <c r="A39" s="9" t="s">
        <v>162</v>
      </c>
      <c r="B39" s="9"/>
      <c r="C39" s="9" t="s">
        <v>163</v>
      </c>
      <c r="D39" s="9" t="s">
        <v>164</v>
      </c>
      <c r="E39" s="9" t="s">
        <v>56</v>
      </c>
      <c r="F39" s="9"/>
      <c r="G39" s="41">
        <v>46.85</v>
      </c>
    </row>
    <row r="40" spans="1:7" ht="12.75">
      <c r="A40" s="9" t="s">
        <v>165</v>
      </c>
      <c r="B40" s="9"/>
      <c r="C40" s="9" t="s">
        <v>166</v>
      </c>
      <c r="D40" s="9" t="s">
        <v>167</v>
      </c>
      <c r="E40" s="9" t="s">
        <v>56</v>
      </c>
      <c r="F40" s="9"/>
      <c r="G40" s="41">
        <v>42.85</v>
      </c>
    </row>
    <row r="41" spans="1:7" ht="12.75">
      <c r="A41" s="9" t="s">
        <v>100</v>
      </c>
      <c r="B41" s="9"/>
      <c r="C41" s="9" t="s">
        <v>170</v>
      </c>
      <c r="D41" s="9" t="s">
        <v>171</v>
      </c>
      <c r="E41" s="9" t="s">
        <v>68</v>
      </c>
      <c r="F41" s="9"/>
      <c r="G41" s="41">
        <v>3.01</v>
      </c>
    </row>
    <row r="42" spans="1:7" ht="12.75">
      <c r="A42" s="9" t="s">
        <v>111</v>
      </c>
      <c r="B42" s="9"/>
      <c r="C42" s="9" t="s">
        <v>172</v>
      </c>
      <c r="D42" s="9" t="s">
        <v>173</v>
      </c>
      <c r="E42" s="9" t="s">
        <v>90</v>
      </c>
      <c r="F42" s="9"/>
      <c r="G42" s="41">
        <v>0.087</v>
      </c>
    </row>
    <row r="43" spans="1:7" ht="12.75">
      <c r="A43" s="9" t="s">
        <v>116</v>
      </c>
      <c r="B43" s="9"/>
      <c r="C43" s="9" t="s">
        <v>177</v>
      </c>
      <c r="D43" s="9" t="s">
        <v>178</v>
      </c>
      <c r="E43" s="9" t="s">
        <v>56</v>
      </c>
      <c r="F43" s="9"/>
      <c r="G43" s="41">
        <v>52.02</v>
      </c>
    </row>
    <row r="44" spans="1:7" ht="12.75">
      <c r="A44" s="9" t="s">
        <v>128</v>
      </c>
      <c r="B44" s="9"/>
      <c r="C44" s="9" t="s">
        <v>179</v>
      </c>
      <c r="D44" s="9" t="s">
        <v>180</v>
      </c>
      <c r="E44" s="9" t="s">
        <v>56</v>
      </c>
      <c r="F44" s="9"/>
      <c r="G44" s="41">
        <v>35.7</v>
      </c>
    </row>
    <row r="45" spans="1:7" ht="12.75">
      <c r="A45" s="9" t="s">
        <v>181</v>
      </c>
      <c r="B45" s="9"/>
      <c r="C45" s="9" t="s">
        <v>182</v>
      </c>
      <c r="D45" s="9" t="s">
        <v>183</v>
      </c>
      <c r="E45" s="9" t="s">
        <v>56</v>
      </c>
      <c r="F45" s="9"/>
      <c r="G45" s="41">
        <v>35.7</v>
      </c>
    </row>
    <row r="46" spans="1:7" ht="12.75">
      <c r="A46" s="9" t="s">
        <v>186</v>
      </c>
      <c r="B46" s="9"/>
      <c r="C46" s="9" t="s">
        <v>187</v>
      </c>
      <c r="D46" s="9" t="s">
        <v>188</v>
      </c>
      <c r="E46" s="9" t="s">
        <v>99</v>
      </c>
      <c r="F46" s="9"/>
      <c r="G46" s="41">
        <v>30.25</v>
      </c>
    </row>
    <row r="47" spans="1:7" ht="12.75">
      <c r="A47" s="9" t="s">
        <v>193</v>
      </c>
      <c r="B47" s="9"/>
      <c r="C47" s="9" t="s">
        <v>194</v>
      </c>
      <c r="D47" s="9" t="s">
        <v>195</v>
      </c>
      <c r="E47" s="9" t="s">
        <v>68</v>
      </c>
      <c r="F47" s="9"/>
      <c r="G47" s="41">
        <v>13.468</v>
      </c>
    </row>
    <row r="48" spans="1:7" ht="12.75">
      <c r="A48" s="9" t="s">
        <v>196</v>
      </c>
      <c r="B48" s="9"/>
      <c r="C48" s="9" t="s">
        <v>197</v>
      </c>
      <c r="D48" s="9" t="s">
        <v>198</v>
      </c>
      <c r="E48" s="9" t="s">
        <v>68</v>
      </c>
      <c r="F48" s="9"/>
      <c r="G48" s="41">
        <v>14.258</v>
      </c>
    </row>
    <row r="49" spans="1:7" ht="12.75">
      <c r="A49" s="9" t="s">
        <v>202</v>
      </c>
      <c r="B49" s="9"/>
      <c r="C49" s="9" t="s">
        <v>203</v>
      </c>
      <c r="D49" s="9" t="s">
        <v>204</v>
      </c>
      <c r="E49" s="9" t="s">
        <v>90</v>
      </c>
      <c r="F49" s="9"/>
      <c r="G49" s="41">
        <v>92.798</v>
      </c>
    </row>
    <row r="50" spans="1:7" ht="12.75">
      <c r="A50" s="9" t="s">
        <v>207</v>
      </c>
      <c r="B50" s="9"/>
      <c r="C50" s="9" t="s">
        <v>208</v>
      </c>
      <c r="D50" s="9" t="s">
        <v>209</v>
      </c>
      <c r="E50" s="9" t="s">
        <v>90</v>
      </c>
      <c r="F50" s="9"/>
      <c r="G50" s="41">
        <v>156.301</v>
      </c>
    </row>
    <row r="51" spans="1:7" ht="12.75">
      <c r="A51" s="9" t="s">
        <v>210</v>
      </c>
      <c r="B51" s="9"/>
      <c r="C51" s="9" t="s">
        <v>211</v>
      </c>
      <c r="D51" s="9" t="s">
        <v>212</v>
      </c>
      <c r="E51" s="9" t="s">
        <v>90</v>
      </c>
      <c r="F51" s="9"/>
      <c r="G51" s="41">
        <v>1406.71</v>
      </c>
    </row>
    <row r="52" spans="1:7" ht="12.75">
      <c r="A52" s="9" t="s">
        <v>133</v>
      </c>
      <c r="B52" s="9"/>
      <c r="C52" s="9" t="s">
        <v>213</v>
      </c>
      <c r="D52" s="9" t="s">
        <v>214</v>
      </c>
      <c r="E52" s="9" t="s">
        <v>90</v>
      </c>
      <c r="F52" s="9"/>
      <c r="G52" s="41">
        <v>34.218</v>
      </c>
    </row>
    <row r="53" spans="1:7" ht="12.75">
      <c r="A53" s="9" t="s">
        <v>215</v>
      </c>
      <c r="B53" s="9"/>
      <c r="C53" s="9" t="s">
        <v>216</v>
      </c>
      <c r="D53" s="9" t="s">
        <v>217</v>
      </c>
      <c r="E53" s="9" t="s">
        <v>90</v>
      </c>
      <c r="F53" s="9"/>
      <c r="G53" s="41">
        <v>32.323</v>
      </c>
    </row>
    <row r="54" spans="1:7" ht="12.75">
      <c r="A54" s="9" t="s">
        <v>220</v>
      </c>
      <c r="B54" s="9"/>
      <c r="C54" s="9" t="s">
        <v>221</v>
      </c>
      <c r="D54" s="9" t="s">
        <v>222</v>
      </c>
      <c r="E54" s="9" t="s">
        <v>56</v>
      </c>
      <c r="F54" s="9"/>
      <c r="G54" s="41">
        <v>18.574</v>
      </c>
    </row>
    <row r="55" spans="1:7" ht="12.75">
      <c r="A55" s="9" t="s">
        <v>149</v>
      </c>
      <c r="B55" s="9"/>
      <c r="C55" s="9" t="s">
        <v>223</v>
      </c>
      <c r="D55" s="9" t="s">
        <v>224</v>
      </c>
      <c r="E55" s="9" t="s">
        <v>225</v>
      </c>
      <c r="F55" s="9"/>
      <c r="G55" s="41">
        <v>5075</v>
      </c>
    </row>
    <row r="56" spans="1:7" ht="12.75">
      <c r="A56" s="9" t="s">
        <v>226</v>
      </c>
      <c r="B56" s="9"/>
      <c r="C56" s="9" t="s">
        <v>227</v>
      </c>
      <c r="D56" s="9" t="s">
        <v>228</v>
      </c>
      <c r="E56" s="9" t="s">
        <v>229</v>
      </c>
      <c r="F56" s="9"/>
      <c r="G56" s="41">
        <v>0.025</v>
      </c>
    </row>
    <row r="57" spans="1:7" ht="12.75">
      <c r="A57" s="9" t="s">
        <v>230</v>
      </c>
      <c r="B57" s="9"/>
      <c r="C57" s="9" t="s">
        <v>231</v>
      </c>
      <c r="D57" s="9" t="s">
        <v>232</v>
      </c>
      <c r="E57" s="9" t="s">
        <v>56</v>
      </c>
      <c r="F57" s="9"/>
      <c r="G57" s="41">
        <v>44.625</v>
      </c>
    </row>
  </sheetData>
  <sheetProtection selectLockedCells="1" selectUnlockedCells="1"/>
  <mergeCells count="17">
    <mergeCell ref="A1:G1"/>
    <mergeCell ref="A2:B3"/>
    <mergeCell ref="C2:D3"/>
    <mergeCell ref="E2:E3"/>
    <mergeCell ref="F2:G3"/>
    <mergeCell ref="A4:B5"/>
    <mergeCell ref="C4:D5"/>
    <mergeCell ref="E4:E5"/>
    <mergeCell ref="F4:G5"/>
    <mergeCell ref="A6:B7"/>
    <mergeCell ref="C6:D7"/>
    <mergeCell ref="E6:E7"/>
    <mergeCell ref="F6:G7"/>
    <mergeCell ref="A8:B9"/>
    <mergeCell ref="C8:D9"/>
    <mergeCell ref="E8:E9"/>
    <mergeCell ref="F8:G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F6" sqref="F6"/>
    </sheetView>
  </sheetViews>
  <sheetFormatPr defaultColWidth="11.42187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1.8515625" style="1" customWidth="1"/>
    <col min="9" max="9" width="22.421875" style="1" customWidth="1"/>
    <col min="10" max="16384" width="11.421875" style="1" customWidth="1"/>
  </cols>
  <sheetData>
    <row r="1" spans="1:9" ht="28.5" customHeight="1">
      <c r="A1" s="58" t="s">
        <v>237</v>
      </c>
      <c r="B1" s="58"/>
      <c r="C1" s="58"/>
      <c r="D1" s="58"/>
      <c r="E1" s="58"/>
      <c r="F1" s="58"/>
      <c r="G1" s="58"/>
      <c r="H1" s="58"/>
      <c r="I1" s="58"/>
    </row>
    <row r="2" spans="1:10" ht="12.75">
      <c r="A2" s="3" t="s">
        <v>1</v>
      </c>
      <c r="B2" s="3"/>
      <c r="C2" s="4" t="s">
        <v>2</v>
      </c>
      <c r="D2" s="4"/>
      <c r="E2" s="5" t="s">
        <v>4</v>
      </c>
      <c r="F2" s="5"/>
      <c r="G2" s="5"/>
      <c r="H2" s="5" t="s">
        <v>238</v>
      </c>
      <c r="I2" s="6"/>
      <c r="J2" s="7"/>
    </row>
    <row r="3" spans="1:10" ht="12.75">
      <c r="A3" s="3"/>
      <c r="B3" s="3"/>
      <c r="C3" s="4"/>
      <c r="D3" s="4"/>
      <c r="E3" s="5"/>
      <c r="F3" s="5"/>
      <c r="G3" s="5"/>
      <c r="H3" s="5"/>
      <c r="I3" s="6"/>
      <c r="J3" s="7"/>
    </row>
    <row r="4" spans="1:10" ht="12.75">
      <c r="A4" s="8" t="s">
        <v>5</v>
      </c>
      <c r="B4" s="8"/>
      <c r="C4" s="9" t="s">
        <v>6</v>
      </c>
      <c r="D4" s="9"/>
      <c r="E4" s="9" t="s">
        <v>9</v>
      </c>
      <c r="F4" s="9"/>
      <c r="G4" s="9"/>
      <c r="H4" s="9" t="s">
        <v>238</v>
      </c>
      <c r="I4" s="10"/>
      <c r="J4" s="7"/>
    </row>
    <row r="5" spans="1:10" ht="12.75">
      <c r="A5" s="8"/>
      <c r="B5" s="8"/>
      <c r="C5" s="9"/>
      <c r="D5" s="9"/>
      <c r="E5" s="9"/>
      <c r="F5" s="9"/>
      <c r="G5" s="9"/>
      <c r="H5" s="9"/>
      <c r="I5" s="10"/>
      <c r="J5" s="7"/>
    </row>
    <row r="6" spans="1:10" ht="12.75">
      <c r="A6" s="8" t="s">
        <v>10</v>
      </c>
      <c r="B6" s="8"/>
      <c r="C6" s="9" t="s">
        <v>11</v>
      </c>
      <c r="D6" s="9"/>
      <c r="E6" s="9" t="s">
        <v>13</v>
      </c>
      <c r="F6" s="9" t="s">
        <v>8</v>
      </c>
      <c r="G6" s="9"/>
      <c r="H6" s="9" t="s">
        <v>238</v>
      </c>
      <c r="I6" s="10" t="s">
        <v>8</v>
      </c>
      <c r="J6" s="7"/>
    </row>
    <row r="7" spans="1:10" ht="12.75">
      <c r="A7" s="8"/>
      <c r="B7" s="8"/>
      <c r="C7" s="9"/>
      <c r="D7" s="9"/>
      <c r="E7" s="9"/>
      <c r="F7" s="9"/>
      <c r="G7" s="9"/>
      <c r="H7" s="9"/>
      <c r="I7" s="10"/>
      <c r="J7" s="7"/>
    </row>
    <row r="8" spans="1:10" ht="12.75">
      <c r="A8" s="8" t="s">
        <v>7</v>
      </c>
      <c r="B8" s="8"/>
      <c r="C8" s="9" t="s">
        <v>8</v>
      </c>
      <c r="D8" s="9"/>
      <c r="E8" s="9" t="s">
        <v>12</v>
      </c>
      <c r="F8" s="11"/>
      <c r="G8" s="11"/>
      <c r="H8" s="9" t="s">
        <v>239</v>
      </c>
      <c r="I8" s="10" t="s">
        <v>8</v>
      </c>
      <c r="J8" s="7"/>
    </row>
    <row r="9" spans="1:10" ht="12.75">
      <c r="A9" s="8"/>
      <c r="B9" s="8"/>
      <c r="C9" s="9"/>
      <c r="D9" s="9"/>
      <c r="E9" s="9"/>
      <c r="F9" s="9"/>
      <c r="G9" s="11"/>
      <c r="H9" s="9"/>
      <c r="I9" s="10"/>
      <c r="J9" s="7"/>
    </row>
    <row r="10" spans="1:10" ht="12.75">
      <c r="A10" s="59" t="s">
        <v>14</v>
      </c>
      <c r="B10" s="59"/>
      <c r="C10" s="43"/>
      <c r="D10" s="43"/>
      <c r="E10" s="43" t="s">
        <v>16</v>
      </c>
      <c r="F10" s="43" t="s">
        <v>8</v>
      </c>
      <c r="G10" s="43"/>
      <c r="H10" s="43" t="s">
        <v>240</v>
      </c>
      <c r="I10" s="60" t="s">
        <v>8</v>
      </c>
      <c r="J10" s="7"/>
    </row>
    <row r="11" spans="1:10" ht="12.75">
      <c r="A11" s="59"/>
      <c r="B11" s="59"/>
      <c r="C11" s="43"/>
      <c r="D11" s="43"/>
      <c r="E11" s="43"/>
      <c r="F11" s="43"/>
      <c r="G11" s="43"/>
      <c r="H11" s="43"/>
      <c r="I11" s="60"/>
      <c r="J11" s="7"/>
    </row>
    <row r="12" spans="1:9" ht="23.25" customHeight="1">
      <c r="A12" s="61" t="s">
        <v>241</v>
      </c>
      <c r="B12" s="61"/>
      <c r="C12" s="61"/>
      <c r="D12" s="61"/>
      <c r="E12" s="61"/>
      <c r="F12" s="61"/>
      <c r="G12" s="61"/>
      <c r="H12" s="61"/>
      <c r="I12" s="61"/>
    </row>
    <row r="13" spans="1:10" ht="26.25" customHeight="1">
      <c r="A13" s="62" t="s">
        <v>242</v>
      </c>
      <c r="B13" s="63" t="s">
        <v>243</v>
      </c>
      <c r="C13" s="63"/>
      <c r="D13" s="62" t="s">
        <v>244</v>
      </c>
      <c r="E13" s="63" t="s">
        <v>245</v>
      </c>
      <c r="F13" s="63"/>
      <c r="G13" s="62" t="s">
        <v>246</v>
      </c>
      <c r="H13" s="63" t="s">
        <v>247</v>
      </c>
      <c r="I13" s="63"/>
      <c r="J13" s="7"/>
    </row>
    <row r="14" spans="1:10" ht="15" customHeight="1">
      <c r="A14" s="64" t="s">
        <v>248</v>
      </c>
      <c r="B14" s="65" t="s">
        <v>249</v>
      </c>
      <c r="C14" s="66"/>
      <c r="D14" s="65" t="s">
        <v>250</v>
      </c>
      <c r="E14" s="65"/>
      <c r="F14" s="66"/>
      <c r="G14" s="65" t="s">
        <v>251</v>
      </c>
      <c r="H14" s="65"/>
      <c r="I14" s="66"/>
      <c r="J14" s="7"/>
    </row>
    <row r="15" spans="1:10" ht="15" customHeight="1">
      <c r="A15" s="67"/>
      <c r="B15" s="65" t="s">
        <v>28</v>
      </c>
      <c r="C15" s="66"/>
      <c r="D15" s="65" t="s">
        <v>252</v>
      </c>
      <c r="E15" s="65"/>
      <c r="F15" s="66"/>
      <c r="G15" s="65" t="s">
        <v>253</v>
      </c>
      <c r="H15" s="65"/>
      <c r="I15" s="66"/>
      <c r="J15" s="7"/>
    </row>
    <row r="16" spans="1:10" ht="15" customHeight="1">
      <c r="A16" s="64" t="s">
        <v>254</v>
      </c>
      <c r="B16" s="65" t="s">
        <v>249</v>
      </c>
      <c r="C16" s="66"/>
      <c r="D16" s="65" t="s">
        <v>255</v>
      </c>
      <c r="E16" s="65"/>
      <c r="F16" s="66"/>
      <c r="G16" s="65" t="s">
        <v>256</v>
      </c>
      <c r="H16" s="65"/>
      <c r="I16" s="66"/>
      <c r="J16" s="7"/>
    </row>
    <row r="17" spans="1:10" ht="15" customHeight="1">
      <c r="A17" s="67"/>
      <c r="B17" s="65" t="s">
        <v>28</v>
      </c>
      <c r="C17" s="66"/>
      <c r="D17" s="65"/>
      <c r="E17" s="65"/>
      <c r="F17" s="68"/>
      <c r="G17" s="65" t="s">
        <v>257</v>
      </c>
      <c r="H17" s="65"/>
      <c r="I17" s="66"/>
      <c r="J17" s="7"/>
    </row>
    <row r="18" spans="1:10" ht="15" customHeight="1">
      <c r="A18" s="64" t="s">
        <v>258</v>
      </c>
      <c r="B18" s="65" t="s">
        <v>249</v>
      </c>
      <c r="C18" s="66"/>
      <c r="D18" s="65"/>
      <c r="E18" s="65"/>
      <c r="F18" s="68"/>
      <c r="G18" s="65" t="s">
        <v>259</v>
      </c>
      <c r="H18" s="65"/>
      <c r="I18" s="66"/>
      <c r="J18" s="7"/>
    </row>
    <row r="19" spans="1:10" ht="15" customHeight="1">
      <c r="A19" s="67"/>
      <c r="B19" s="65" t="s">
        <v>28</v>
      </c>
      <c r="C19" s="66"/>
      <c r="D19" s="65"/>
      <c r="E19" s="65"/>
      <c r="F19" s="68"/>
      <c r="G19" s="65" t="s">
        <v>260</v>
      </c>
      <c r="H19" s="65"/>
      <c r="I19" s="66"/>
      <c r="J19" s="7"/>
    </row>
    <row r="20" spans="1:10" ht="15" customHeight="1">
      <c r="A20" s="69" t="s">
        <v>218</v>
      </c>
      <c r="B20" s="69"/>
      <c r="C20" s="66"/>
      <c r="D20" s="65"/>
      <c r="E20" s="65"/>
      <c r="F20" s="68"/>
      <c r="G20" s="65"/>
      <c r="H20" s="65"/>
      <c r="I20" s="68"/>
      <c r="J20" s="7"/>
    </row>
    <row r="21" spans="1:10" ht="15" customHeight="1">
      <c r="A21" s="69" t="s">
        <v>261</v>
      </c>
      <c r="B21" s="69"/>
      <c r="C21" s="66"/>
      <c r="D21" s="65"/>
      <c r="E21" s="65"/>
      <c r="F21" s="68"/>
      <c r="G21" s="65"/>
      <c r="H21" s="65"/>
      <c r="I21" s="68"/>
      <c r="J21" s="7"/>
    </row>
    <row r="22" spans="1:10" ht="16.5" customHeight="1">
      <c r="A22" s="69" t="s">
        <v>262</v>
      </c>
      <c r="B22" s="69"/>
      <c r="C22" s="66"/>
      <c r="D22" s="69" t="s">
        <v>263</v>
      </c>
      <c r="E22" s="69"/>
      <c r="F22" s="66"/>
      <c r="G22" s="69" t="s">
        <v>264</v>
      </c>
      <c r="H22" s="69"/>
      <c r="I22" s="66"/>
      <c r="J22" s="7"/>
    </row>
    <row r="23" spans="1:9" ht="12.75">
      <c r="A23" s="70"/>
      <c r="B23" s="70"/>
      <c r="C23" s="70"/>
      <c r="D23" s="46"/>
      <c r="E23" s="46"/>
      <c r="F23" s="46"/>
      <c r="G23" s="46"/>
      <c r="H23" s="46"/>
      <c r="I23" s="46"/>
    </row>
    <row r="24" spans="1:9" ht="15" customHeight="1">
      <c r="A24" s="71" t="s">
        <v>265</v>
      </c>
      <c r="B24" s="71"/>
      <c r="C24" s="72"/>
      <c r="D24" s="73"/>
      <c r="E24" s="45"/>
      <c r="F24" s="45"/>
      <c r="G24" s="45"/>
      <c r="H24" s="45"/>
      <c r="I24" s="45"/>
    </row>
    <row r="25" spans="1:10" ht="15" customHeight="1">
      <c r="A25" s="71" t="s">
        <v>266</v>
      </c>
      <c r="B25" s="71"/>
      <c r="C25" s="72"/>
      <c r="D25" s="71" t="s">
        <v>267</v>
      </c>
      <c r="E25" s="71"/>
      <c r="F25" s="72"/>
      <c r="G25" s="71" t="s">
        <v>268</v>
      </c>
      <c r="H25" s="71"/>
      <c r="I25" s="72"/>
      <c r="J25" s="7"/>
    </row>
    <row r="26" spans="1:10" ht="15" customHeight="1">
      <c r="A26" s="71" t="s">
        <v>269</v>
      </c>
      <c r="B26" s="71"/>
      <c r="C26" s="72"/>
      <c r="D26" s="71" t="s">
        <v>270</v>
      </c>
      <c r="E26" s="71"/>
      <c r="F26" s="72"/>
      <c r="G26" s="71" t="s">
        <v>271</v>
      </c>
      <c r="H26" s="71"/>
      <c r="I26" s="72"/>
      <c r="J26" s="7"/>
    </row>
    <row r="27" spans="1:9" ht="12.75">
      <c r="A27" s="74"/>
      <c r="B27" s="74"/>
      <c r="C27" s="74"/>
      <c r="D27" s="74"/>
      <c r="E27" s="74"/>
      <c r="F27" s="74"/>
      <c r="G27" s="74"/>
      <c r="H27" s="74"/>
      <c r="I27" s="74"/>
    </row>
    <row r="28" spans="1:10" ht="14.25" customHeight="1">
      <c r="A28" s="75" t="s">
        <v>272</v>
      </c>
      <c r="B28" s="75"/>
      <c r="C28" s="75"/>
      <c r="D28" s="75" t="s">
        <v>273</v>
      </c>
      <c r="E28" s="75"/>
      <c r="F28" s="75"/>
      <c r="G28" s="75" t="s">
        <v>274</v>
      </c>
      <c r="H28" s="75"/>
      <c r="I28" s="75"/>
      <c r="J28" s="20"/>
    </row>
    <row r="29" spans="1:10" ht="14.25" customHeight="1">
      <c r="A29" s="76"/>
      <c r="B29" s="76"/>
      <c r="C29" s="76"/>
      <c r="D29" s="76"/>
      <c r="E29" s="76"/>
      <c r="F29" s="76"/>
      <c r="G29" s="76"/>
      <c r="H29" s="76"/>
      <c r="I29" s="76"/>
      <c r="J29" s="20"/>
    </row>
    <row r="30" spans="1:10" ht="14.25" customHeight="1">
      <c r="A30" s="76"/>
      <c r="B30" s="76"/>
      <c r="C30" s="76"/>
      <c r="D30" s="76"/>
      <c r="E30" s="76"/>
      <c r="F30" s="76"/>
      <c r="G30" s="76"/>
      <c r="H30" s="76"/>
      <c r="I30" s="76"/>
      <c r="J30" s="20"/>
    </row>
    <row r="31" spans="1:10" ht="14.25" customHeight="1">
      <c r="A31" s="76"/>
      <c r="B31" s="76"/>
      <c r="C31" s="76"/>
      <c r="D31" s="76"/>
      <c r="E31" s="76"/>
      <c r="F31" s="76"/>
      <c r="G31" s="76"/>
      <c r="H31" s="76"/>
      <c r="I31" s="76"/>
      <c r="J31" s="20"/>
    </row>
    <row r="32" spans="1:10" ht="14.25" customHeight="1">
      <c r="A32" s="77" t="s">
        <v>275</v>
      </c>
      <c r="B32" s="77"/>
      <c r="C32" s="77"/>
      <c r="D32" s="77" t="s">
        <v>275</v>
      </c>
      <c r="E32" s="77"/>
      <c r="F32" s="77"/>
      <c r="G32" s="77" t="s">
        <v>275</v>
      </c>
      <c r="H32" s="77"/>
      <c r="I32" s="77"/>
      <c r="J32" s="20"/>
    </row>
    <row r="33" spans="1:9" ht="12.75">
      <c r="A33" s="57"/>
      <c r="B33" s="57"/>
      <c r="C33" s="57"/>
      <c r="D33" s="57"/>
      <c r="E33" s="57"/>
      <c r="F33" s="57"/>
      <c r="G33" s="57"/>
      <c r="H33" s="57"/>
      <c r="I33" s="57"/>
    </row>
  </sheetData>
  <sheetProtection selectLockedCells="1" selectUnlockedCells="1"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Šremer Antonín</dc:creator>
  <cp:keywords/>
  <dc:description/>
  <cp:lastModifiedBy/>
  <dcterms:created xsi:type="dcterms:W3CDTF">2012-09-14T10:05:06Z</dcterms:created>
  <dcterms:modified xsi:type="dcterms:W3CDTF">2012-09-24T11:55:52Z</dcterms:modified>
  <cp:category/>
  <cp:version/>
  <cp:contentType/>
  <cp:contentStatus/>
</cp:coreProperties>
</file>